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X2qftdMP+yidEAgrHEdkeco2ZBXM7XcUwAwxKC671Rh+FpPCWRJ5fwV8/fkFVW27sjG3FNV5XQs/3hFvAxhTg==" workbookSaltValue="RECjY6jd313iW81Xrs+v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H30" i="16"/>
  <c r="S13" i="14"/>
  <c r="V13" i="14" s="1"/>
  <c r="S18" i="14"/>
  <c r="V18" i="14" s="1"/>
  <c r="R11" i="14"/>
  <c r="R22" i="14"/>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G20" i="11"/>
  <c r="AZ19" i="11"/>
  <c r="AP10" i="21"/>
  <c r="BH13" i="11"/>
  <c r="BJ25" i="11"/>
  <c r="AZ16" i="11"/>
  <c r="AZ23" i="11" s="1"/>
  <c r="AZ26" i="11" s="1"/>
  <c r="BU10" i="17"/>
  <c r="U13" i="17"/>
  <c r="BV20" i="16"/>
  <c r="AZ11" i="11"/>
  <c r="BH21" i="11"/>
  <c r="BK20" i="11"/>
  <c r="AZ25" i="11"/>
  <c r="AZ30" i="11" s="1"/>
  <c r="BH17" i="11"/>
  <c r="BI22" i="11"/>
  <c r="BI21" i="11"/>
  <c r="L10" i="2"/>
  <c r="L1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H16" i="16"/>
  <c r="BF18" i="11"/>
  <c r="BG22" i="11"/>
  <c r="BK29" i="11"/>
  <c r="V12" i="21"/>
  <c r="BK11" i="11"/>
  <c r="AZ18" i="11"/>
  <c r="AP21" i="20"/>
  <c r="BH20" i="16"/>
  <c r="BJ11" i="11"/>
  <c r="BH22" i="16"/>
  <c r="R10" i="21"/>
  <c r="BJ20" i="11"/>
  <c r="BG16" i="11"/>
  <c r="BL13" i="11"/>
  <c r="Q13" i="11" s="1"/>
  <c r="BH18" i="11"/>
  <c r="BM16" i="11"/>
  <c r="AO28" i="17"/>
  <c r="BU16" i="17"/>
  <c r="BU33" i="17" s="1"/>
  <c r="BW19" i="20"/>
  <c r="X20" i="16"/>
  <c r="BW25" i="20"/>
  <c r="BU22" i="17"/>
  <c r="BU20" i="17"/>
  <c r="BW29" i="20"/>
  <c r="BW22" i="20"/>
  <c r="BV29" i="16"/>
  <c r="S11" i="17"/>
  <c r="BU17" i="17"/>
  <c r="S22" i="17"/>
  <c r="S25" i="17"/>
  <c r="BF20" i="11"/>
  <c r="S16" i="16"/>
  <c r="S23" i="16" s="1"/>
  <c r="P16" i="17"/>
  <c r="P23" i="17" s="1"/>
  <c r="P31" i="17" s="1"/>
  <c r="BL20" i="11"/>
  <c r="Q20" i="11" s="1"/>
  <c r="BF12" i="11"/>
  <c r="BL16" i="11"/>
  <c r="Q16" i="11" s="1"/>
  <c r="BH25" i="16"/>
  <c r="BJ10" i="11"/>
  <c r="BK17" i="11"/>
  <c r="Q16" i="17"/>
  <c r="BM18" i="11"/>
  <c r="BF16" i="11"/>
  <c r="BF23" i="11" s="1"/>
  <c r="BL22" i="11"/>
  <c r="AQ12" i="21"/>
  <c r="BH25" i="11"/>
  <c r="BK10" i="11"/>
  <c r="BK14" i="11" s="1"/>
  <c r="L28" i="2"/>
  <c r="X21" i="20"/>
  <c r="L16" i="2"/>
  <c r="L17" i="2"/>
  <c r="X16" i="16"/>
  <c r="X23" i="16" s="1"/>
  <c r="L9" i="2"/>
  <c r="V25" i="16"/>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BL23" i="11"/>
  <c r="P16" i="11"/>
  <c r="AA31" i="11"/>
  <c r="P20" i="11"/>
  <c r="S31" i="16"/>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<sst xmlns="http://schemas.openxmlformats.org/spreadsheetml/2006/main" count="2682" uniqueCount="1193">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</sst>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7dgwMbuxKQWDAlo5OvVpTJi2JqQbWHKrPSlJ+wMYVGuJO5R3hk3K5GMt2oJFw3kpTNxJpFgaPkxECMWaQ84g==" saltValue="Q7RTbc4HcGuBG+qmEu8a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1</v>
      </c>
      <c r="F10" s="240">
        <f>IF(ISNUMBER(Datos!K10),Datos!K10," - ")</f>
        <v>0</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21.689655172413794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520</v>
      </c>
      <c r="D17" s="239">
        <f>IF(ISNUMBER(IF(D_I="SI",Datos!I17,Datos!I17+Datos!AC17)),IF(D_I="SI",Datos!I17,Datos!I17+Datos!AC17)," - ")</f>
        <v>520</v>
      </c>
      <c r="E17" s="240">
        <f>IF(ISNUMBER(IF(D_I="SI",Datos!J17,Datos!J17+Datos!AD17)),IF(D_I="SI",Datos!J17,Datos!J17+Datos!AD17)," - ")</f>
        <v>267</v>
      </c>
      <c r="F17" s="240">
        <f>IF(ISNUMBER(IF(D_I="SI",Datos!K17,Datos!K17+Datos!AE17)),IF(D_I="SI",Datos!K17,Datos!K17+Datos!AE17)," - ")</f>
        <v>291</v>
      </c>
      <c r="G17" s="1390" t="str">
        <f>IF(Datos!E17&lt;&gt;"",Datos!E17,Datos!D17)</f>
        <v>04</v>
      </c>
      <c r="H17" s="241">
        <f>IF(ISNUMBER(IF(D_I="SI",Datos!L17,Datos!L17+Datos!AF17)),IF(D_I="SI",Datos!L17,Datos!L17+Datos!AF17)," - ")</f>
        <v>496</v>
      </c>
      <c r="I17" s="1400" t="str">
        <f>IF(ISNUMBER(Datos!AS17/Datos!BM17),Datos!AS17/Datos!BM17," - ")</f>
        <v xml:space="preserve"> - </v>
      </c>
      <c r="J17" s="1401">
        <f>IF(ISNUMBER(Datos!BY17/Datos!CN17),Datos!BY17/Datos!CN17," - ")</f>
        <v>0</v>
      </c>
      <c r="K17" s="244">
        <f t="shared" si="3"/>
        <v>-4.6153846153846156E-2</v>
      </c>
      <c r="L17" s="1402">
        <f>IF(ISNUMBER(NºAsuntos!I17/NºAsuntos!G17),(NºAsuntos!I17/NºAsuntos!G17)*11," - ")</f>
        <v>18.749140893470791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28</v>
      </c>
      <c r="F18" s="240">
        <f>IF(ISNUMBER(IF(D_I="SI",Datos!K18,Datos!K18+Datos!AE18)),IF(D_I="SI",Datos!K18,Datos!K18+Datos!AE18)," - ")</f>
        <v>24</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0.17391304347826086</v>
      </c>
      <c r="L18" s="1402">
        <f>IF(ISNUMBER(NºAsuntos!I18/NºAsuntos!G18),(NºAsuntos!I18/NºAsuntos!G18)*11," - ")</f>
        <v>12.375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543</v>
      </c>
      <c r="D23" s="1407">
        <f>SUBTOTAL(9,D16:D22)</f>
        <v>543</v>
      </c>
      <c r="E23" s="1408">
        <f>SUBTOTAL(9,E16:E22)</f>
        <v>295</v>
      </c>
      <c r="F23" s="1408">
        <f>SUBTOTAL(9,F16:F22)</f>
        <v>315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553</v>
      </c>
      <c r="D31" s="1435">
        <f>SUBTOTAL(9,D9:D30)</f>
        <v>553</v>
      </c>
      <c r="E31" s="1436">
        <f>SUBTOTAL(9,E9:E30)</f>
        <v>296</v>
      </c>
      <c r="F31" s="1436">
        <f>SUBTOTAL(9,F9:F30)</f>
        <v>315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QIGAUCelPdwFzddAij9SVfD8L6UdsRH3K4rooEYLzV3fZIPjXm6VFEMy9E4ZAoanD+k4s+zX8ZvqK6MKcYr1A==" saltValue="qll4V0v+XYc+T/kxHB2n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c0o5MZGOjOQle946B4LK39bwgSmn46jZuCnCENL8L39r22zrUz9HeMZOE4RmjiameoIXLlbo8cqSlPRdOWngQ==" saltValue="SRTox+Z2XzJblld4BsvM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1</v>
      </c>
      <c r="K10" s="194">
        <v>0</v>
      </c>
      <c r="L10" s="194">
        <v>11</v>
      </c>
      <c r="M10" s="194">
        <v>0</v>
      </c>
      <c r="N10" s="194">
        <v>0</v>
      </c>
      <c r="O10" s="194">
        <v>0</v>
      </c>
      <c r="P10" s="194">
        <v>0</v>
      </c>
      <c r="Q10" s="194">
        <v>0</v>
      </c>
      <c r="R10" s="194">
        <v>0</v>
      </c>
      <c r="S10" s="194">
        <v>9</v>
      </c>
      <c r="T10" s="194">
        <v>10</v>
      </c>
      <c r="U10" s="194">
        <v>9</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10</v>
      </c>
      <c r="BA10" s="139">
        <f t="shared" si="0"/>
        <v>9</v>
      </c>
      <c r="BB10" s="139">
        <f t="shared" si="0"/>
        <v>10</v>
      </c>
      <c r="BC10" s="135">
        <f t="shared" si="0"/>
        <v>0</v>
      </c>
      <c r="BD10" s="136">
        <f>IF(ISNUMBER(BA10/AZ10),BA10/AZ10," - ")</f>
        <v>0.9</v>
      </c>
      <c r="BE10" s="137">
        <f>IF(ISNUMBER(BB10/BA10),BB10/BA10, " - ")</f>
        <v>1.1111111111111112</v>
      </c>
      <c r="BF10" s="137">
        <f>IF(ISNUMBER(BC10/BA10),BC10/BA10, " - ")</f>
        <v>0</v>
      </c>
      <c r="BG10" s="209">
        <f>IF(ISNUMBER((AY10+AZ10)/BA10),(AY10+AZ10)/BA10," - ")</f>
        <v>2.1111111111111112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663</v>
      </c>
      <c r="J12" s="196">
        <v>249</v>
      </c>
      <c r="K12" s="196">
        <v>300</v>
      </c>
      <c r="L12" s="196">
        <v>612</v>
      </c>
      <c r="M12" s="196">
        <v>108</v>
      </c>
      <c r="N12" s="196">
        <v>136</v>
      </c>
      <c r="O12" s="194">
        <v>81</v>
      </c>
      <c r="P12" s="196">
        <v>75</v>
      </c>
      <c r="Q12" s="196">
        <v>50</v>
      </c>
      <c r="R12" s="196">
        <v>1084</v>
      </c>
      <c r="S12" s="196">
        <v>727</v>
      </c>
      <c r="T12" s="196">
        <v>300</v>
      </c>
      <c r="U12" s="196">
        <v>347</v>
      </c>
      <c r="V12" s="196">
        <v>680</v>
      </c>
      <c r="W12" s="196">
        <v>68</v>
      </c>
      <c r="X12" s="202">
        <v>173</v>
      </c>
      <c r="Y12" s="204">
        <v>22</v>
      </c>
      <c r="Z12" s="194">
        <v>14</v>
      </c>
      <c r="AA12" s="194">
        <v>19</v>
      </c>
      <c r="AB12" s="194">
        <v>17</v>
      </c>
      <c r="AC12" s="196">
        <v>0</v>
      </c>
      <c r="AD12" s="196">
        <v>0</v>
      </c>
      <c r="AE12" s="196">
        <v>0</v>
      </c>
      <c r="AF12" s="202">
        <v>0</v>
      </c>
      <c r="AG12" s="215">
        <v>20</v>
      </c>
      <c r="AH12" s="196">
        <v>32</v>
      </c>
      <c r="AI12" s="196">
        <v>15</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747</v>
      </c>
      <c r="AZ12" s="137">
        <f t="shared" si="1"/>
        <v>332</v>
      </c>
      <c r="BA12" s="137">
        <f t="shared" si="1"/>
        <v>362</v>
      </c>
      <c r="BB12" s="137">
        <f t="shared" si="1"/>
        <v>717</v>
      </c>
      <c r="BC12" s="135">
        <f>IF(ISNUMBER(X12),X12," - ")</f>
        <v>173</v>
      </c>
      <c r="BD12" s="136">
        <f t="shared" si="2"/>
        <v>1.0903614457831325</v>
      </c>
      <c r="BE12" s="137">
        <f t="shared" si="3"/>
        <v>1.9806629834254144</v>
      </c>
      <c r="BF12" s="137">
        <f t="shared" si="4"/>
        <v>0.47790055248618785</v>
      </c>
      <c r="BG12" s="209">
        <f t="shared" si="5"/>
        <v>2.9806629834254146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673</v>
      </c>
      <c r="J14" s="197">
        <f t="shared" si="7"/>
        <v>250</v>
      </c>
      <c r="K14" s="197">
        <f t="shared" si="7"/>
        <v>300</v>
      </c>
      <c r="L14" s="197">
        <f t="shared" si="7"/>
        <v>623</v>
      </c>
      <c r="M14" s="197">
        <f t="shared" si="7"/>
        <v>108</v>
      </c>
      <c r="N14" s="197">
        <f t="shared" si="7"/>
        <v>136</v>
      </c>
      <c r="O14" s="197">
        <f t="shared" si="7"/>
        <v>81</v>
      </c>
      <c r="P14" s="197">
        <f t="shared" si="7"/>
        <v>75</v>
      </c>
      <c r="Q14" s="197">
        <f t="shared" si="7"/>
        <v>50</v>
      </c>
      <c r="R14" s="197">
        <f t="shared" si="7"/>
        <v>1084</v>
      </c>
      <c r="S14" s="197">
        <f t="shared" si="7"/>
        <v>736</v>
      </c>
      <c r="T14" s="197">
        <f t="shared" si="7"/>
        <v>310</v>
      </c>
      <c r="U14" s="197">
        <f t="shared" si="7"/>
        <v>356</v>
      </c>
      <c r="V14" s="197">
        <f t="shared" si="7"/>
        <v>690</v>
      </c>
      <c r="W14" s="197">
        <f t="shared" si="7"/>
        <v>68</v>
      </c>
      <c r="X14" s="197">
        <f t="shared" si="7"/>
        <v>173</v>
      </c>
      <c r="Y14" s="197">
        <f t="shared" si="7"/>
        <v>22</v>
      </c>
      <c r="Z14" s="197">
        <f t="shared" si="7"/>
        <v>14</v>
      </c>
      <c r="AA14" s="197">
        <f t="shared" si="7"/>
        <v>19</v>
      </c>
      <c r="AB14" s="197">
        <f t="shared" si="7"/>
        <v>17</v>
      </c>
      <c r="AC14" s="197">
        <f t="shared" si="7"/>
        <v>0</v>
      </c>
      <c r="AD14" s="197">
        <f t="shared" si="7"/>
        <v>0</v>
      </c>
      <c r="AE14" s="197">
        <f t="shared" si="7"/>
        <v>0</v>
      </c>
      <c r="AF14" s="197">
        <f>SUBTOTAL(9,AF9:AF13)</f>
        <v>0</v>
      </c>
      <c r="AG14" s="197">
        <f t="shared" ref="AG14:AT14" si="8">SUBTOTAL(9,AG8:AG13)</f>
        <v>20</v>
      </c>
      <c r="AH14" s="197">
        <f t="shared" si="8"/>
        <v>32</v>
      </c>
      <c r="AI14" s="197">
        <f t="shared" si="8"/>
        <v>15</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756</v>
      </c>
      <c r="AZ14" s="197">
        <f>SUBTOTAL(9,AZ8:AZ13)</f>
        <v>342</v>
      </c>
      <c r="BA14" s="197">
        <f>SUBTOTAL(9,BA8:BA13)</f>
        <v>371</v>
      </c>
      <c r="BB14" s="197">
        <f>SUBTOTAL(9,BB8:BB13)</f>
        <v>727</v>
      </c>
      <c r="BC14" s="197">
        <f>SUBTOTAL(9,BC8:BC13)</f>
        <v>173</v>
      </c>
      <c r="BD14" s="219">
        <f>IF(ISNUMBER(BA14/AZ14),BA14/AZ14," - ")</f>
        <v>1.0847953216374269</v>
      </c>
      <c r="BE14" s="220">
        <f>IF(ISNUMBER(BB14/BA14),BB14/BA14, " - ")</f>
        <v>1.9595687331536389</v>
      </c>
      <c r="BF14" s="220">
        <f>IF(ISNUMBER(BC14/BA14),BC14/BA14, " - ")</f>
        <v>0.46630727762803237</v>
      </c>
      <c r="BG14" s="221">
        <f>IF(ISNUMBER((AY14+AZ14)/BA14),(AY14+AZ14)/BA14," - ")</f>
        <v>2.9595687331536387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520</v>
      </c>
      <c r="J17" s="196">
        <v>267</v>
      </c>
      <c r="K17" s="196">
        <v>291</v>
      </c>
      <c r="L17" s="196">
        <v>496</v>
      </c>
      <c r="M17" s="196">
        <v>50</v>
      </c>
      <c r="N17" s="196">
        <v>108</v>
      </c>
      <c r="O17" s="194">
        <v>0</v>
      </c>
      <c r="P17" s="196">
        <v>8</v>
      </c>
      <c r="Q17" s="196">
        <v>16</v>
      </c>
      <c r="R17" s="196">
        <v>86</v>
      </c>
      <c r="S17" s="196">
        <v>375</v>
      </c>
      <c r="T17" s="196">
        <v>249</v>
      </c>
      <c r="U17" s="196">
        <v>260</v>
      </c>
      <c r="V17" s="196">
        <v>365</v>
      </c>
      <c r="W17" s="196">
        <v>57</v>
      </c>
      <c r="X17" s="202">
        <v>144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375</v>
      </c>
      <c r="AZ17" s="137">
        <f t="shared" si="10"/>
        <v>249</v>
      </c>
      <c r="BA17" s="137">
        <f t="shared" si="10"/>
        <v>260</v>
      </c>
      <c r="BB17" s="137">
        <f t="shared" si="10"/>
        <v>365</v>
      </c>
      <c r="BC17" s="135">
        <f>IF(ISNUMBER(W17),W17," - ")</f>
        <v>57</v>
      </c>
      <c r="BD17" s="136">
        <f t="shared" ref="BD17:BD22" si="12">IF(ISNUMBER(BA17/AZ17),BA17/AZ17," - ")</f>
        <v>1.0441767068273093</v>
      </c>
      <c r="BE17" s="137">
        <f t="shared" ref="BE17:BE22" si="13">IF(ISNUMBER(BB17/BA17),BB17/BA17, " - ")</f>
        <v>1.4038461538461537</v>
      </c>
      <c r="BF17" s="137">
        <f t="shared" ref="BF17:BF22" si="14">IF(ISNUMBER(BC17/BA17),BC17/BA17, " - ")</f>
        <v>0.21923076923076923</v>
      </c>
      <c r="BG17" s="209">
        <f t="shared" si="11"/>
        <v>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28</v>
      </c>
      <c r="K18" s="196">
        <v>24</v>
      </c>
      <c r="L18" s="196">
        <v>27</v>
      </c>
      <c r="M18" s="196">
        <v>5</v>
      </c>
      <c r="N18" s="196">
        <v>16</v>
      </c>
      <c r="O18" s="196">
        <v>0</v>
      </c>
      <c r="P18" s="196">
        <v>0</v>
      </c>
      <c r="Q18" s="196">
        <v>0</v>
      </c>
      <c r="R18" s="196">
        <v>0</v>
      </c>
      <c r="S18" s="196">
        <v>26</v>
      </c>
      <c r="T18" s="196">
        <v>22</v>
      </c>
      <c r="U18" s="196">
        <v>29</v>
      </c>
      <c r="V18" s="196">
        <v>19</v>
      </c>
      <c r="W18" s="196">
        <v>4</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22</v>
      </c>
      <c r="BA18" s="139">
        <f t="shared" si="15"/>
        <v>29</v>
      </c>
      <c r="BB18" s="139">
        <f t="shared" si="15"/>
        <v>19</v>
      </c>
      <c r="BC18" s="135">
        <f>IF(ISNUMBER(W18),W18," - ")</f>
        <v>4</v>
      </c>
      <c r="BD18" s="136">
        <f>IF(ISNUMBER(BA18/AZ18),BA18/AZ18," - ")</f>
        <v>1.3181818181818181</v>
      </c>
      <c r="BE18" s="137">
        <f>IF(ISNUMBER(BB18/BA18),BB18/BA18, " - ")</f>
        <v>0.65517241379310343</v>
      </c>
      <c r="BF18" s="137">
        <f>IF(ISNUMBER(BC18/BA18),BC18/BA18, " - ")</f>
        <v>0.13793103448275862</v>
      </c>
      <c r="BG18" s="209">
        <f>IF(ISNUMBER((AY18+AZ18)/BA18),(AY18+AZ18)/BA18," - ")</f>
        <v>1.6551724137931034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543</v>
      </c>
      <c r="J23" s="197">
        <f t="shared" si="21"/>
        <v>295</v>
      </c>
      <c r="K23" s="197">
        <f t="shared" si="21"/>
        <v>315</v>
      </c>
      <c r="L23" s="197">
        <f t="shared" si="21"/>
        <v>523</v>
      </c>
      <c r="M23" s="197">
        <f t="shared" si="21"/>
        <v>55</v>
      </c>
      <c r="N23" s="197">
        <f t="shared" si="21"/>
        <v>124</v>
      </c>
      <c r="O23" s="197">
        <f t="shared" si="21"/>
        <v>0</v>
      </c>
      <c r="P23" s="197">
        <f t="shared" si="21"/>
        <v>8</v>
      </c>
      <c r="Q23" s="197">
        <f t="shared" si="21"/>
        <v>16</v>
      </c>
      <c r="R23" s="197">
        <f t="shared" si="21"/>
        <v>86</v>
      </c>
      <c r="S23" s="197">
        <f t="shared" si="21"/>
        <v>401</v>
      </c>
      <c r="T23" s="197">
        <f t="shared" si="21"/>
        <v>271</v>
      </c>
      <c r="U23" s="197">
        <f t="shared" si="21"/>
        <v>289</v>
      </c>
      <c r="V23" s="197">
        <f t="shared" si="21"/>
        <v>384</v>
      </c>
      <c r="W23" s="197">
        <f t="shared" si="21"/>
        <v>61</v>
      </c>
      <c r="X23" s="197">
        <f t="shared" si="21"/>
        <v>161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401</v>
      </c>
      <c r="AZ23" s="197">
        <f>SUBTOTAL(9,AZ15:AZ22)</f>
        <v>271</v>
      </c>
      <c r="BA23" s="197">
        <f>SUBTOTAL(9,BA15:BA22)</f>
        <v>289</v>
      </c>
      <c r="BB23" s="197">
        <f>SUBTOTAL(9,BB15:BB22)</f>
        <v>384</v>
      </c>
      <c r="BC23" s="197">
        <f>SUBTOTAL(9,BC15:BC22)</f>
        <v>61</v>
      </c>
      <c r="BD23" s="219">
        <f>IF(ISNUMBER(BA23/AZ23),BA23/AZ23," - ")</f>
        <v>1.0664206642066421</v>
      </c>
      <c r="BE23" s="220">
        <f>IF(ISNUMBER(BB23/BA23),BB23/BA23, " - ")</f>
        <v>1.3287197231833909</v>
      </c>
      <c r="BF23" s="220">
        <f>IF(ISNUMBER(BC23/BA23),BC23/BA23, " - ")</f>
        <v>0.21107266435986158</v>
      </c>
      <c r="BG23" s="221">
        <f>IF(ISNUMBER((AY23+AZ23)/BA23),(AY23+AZ23)/BA23," - ")</f>
        <v>2.3252595155709344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1216</v>
      </c>
      <c r="J31" s="144">
        <f t="shared" si="36"/>
        <v>545</v>
      </c>
      <c r="K31" s="144">
        <f t="shared" si="36"/>
        <v>615</v>
      </c>
      <c r="L31" s="144">
        <f t="shared" si="36"/>
        <v>1146</v>
      </c>
      <c r="M31" s="144">
        <f t="shared" si="36"/>
        <v>163</v>
      </c>
      <c r="N31" s="144">
        <f t="shared" si="36"/>
        <v>260</v>
      </c>
      <c r="O31" s="144">
        <f t="shared" si="36"/>
        <v>81</v>
      </c>
      <c r="P31" s="144">
        <f t="shared" si="36"/>
        <v>83</v>
      </c>
      <c r="Q31" s="144">
        <f t="shared" si="36"/>
        <v>66</v>
      </c>
      <c r="R31" s="144">
        <f t="shared" si="36"/>
        <v>1170</v>
      </c>
      <c r="S31" s="144">
        <f t="shared" si="36"/>
        <v>1137</v>
      </c>
      <c r="T31" s="144">
        <f t="shared" si="36"/>
        <v>581</v>
      </c>
      <c r="U31" s="144">
        <f t="shared" si="36"/>
        <v>645</v>
      </c>
      <c r="V31" s="144">
        <f t="shared" si="36"/>
        <v>1074</v>
      </c>
      <c r="W31" s="144">
        <f t="shared" si="36"/>
        <v>129</v>
      </c>
      <c r="X31" s="144">
        <f t="shared" si="36"/>
        <v>334</v>
      </c>
      <c r="Y31" s="144">
        <f t="shared" si="36"/>
        <v>22</v>
      </c>
      <c r="Z31" s="144">
        <f t="shared" si="36"/>
        <v>14</v>
      </c>
      <c r="AA31" s="144">
        <f t="shared" si="36"/>
        <v>19</v>
      </c>
      <c r="AB31" s="144">
        <f t="shared" si="36"/>
        <v>17</v>
      </c>
      <c r="AC31" s="144">
        <f t="shared" si="36"/>
        <v>0</v>
      </c>
      <c r="AD31" s="144">
        <f t="shared" si="36"/>
        <v>0</v>
      </c>
      <c r="AE31" s="144">
        <f t="shared" si="36"/>
        <v>0</v>
      </c>
      <c r="AF31" s="144">
        <f t="shared" si="36"/>
        <v>0</v>
      </c>
      <c r="AG31" s="144">
        <f t="shared" si="36"/>
        <v>20</v>
      </c>
      <c r="AH31" s="144">
        <f t="shared" si="36"/>
        <v>32</v>
      </c>
      <c r="AI31" s="144">
        <f t="shared" si="36"/>
        <v>15</v>
      </c>
      <c r="AJ31" s="144">
        <f t="shared" si="36"/>
        <v>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1157</v>
      </c>
      <c r="AZ31" s="144">
        <f>SUBTOTAL(9,AZ9:AZ30)</f>
        <v>613</v>
      </c>
      <c r="BA31" s="144">
        <f>SUBTOTAL(9,BA9:BA30)</f>
        <v>660</v>
      </c>
      <c r="BB31" s="144">
        <f>SUBTOTAL(9,BB9:BB30)</f>
        <v>1111</v>
      </c>
      <c r="BC31" s="145">
        <f>SUBTOTAL(9,BC9:BC30)</f>
        <v>234</v>
      </c>
      <c r="BD31" s="227">
        <f>IF(ISNUMBER(BA31/AZ31),BA31/AZ31," - ")</f>
        <v>1.0766721044045677</v>
      </c>
      <c r="BE31" s="224">
        <f>IF(ISNUMBER(BB31/BA31),BB31/BA31, " - ")</f>
        <v>1.6833333333333333</v>
      </c>
      <c r="BF31" s="224">
        <f>IF(ISNUMBER(BC31/BA31),BC31/BA31, " - ")</f>
        <v>0.35454545454545455</v>
      </c>
      <c r="BG31" s="145">
        <f>IF(ISNUMBER((AY31+AZ31)/BA31),(AY31+AZ31)/BA31," - ")</f>
        <v>2.6818181818181817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8Oe5+CcR2EF/IAj9OTFZvPH7sYo9bHsr66cv9FTMdBj1n17JctDiUGNbHU1p25/xu9optVCULu/O9QNE7+bvg==" saltValue="6kE+siVrqdC7sbxjsVPk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8GqsCa9inaJjTpJz7kBF/Uz5EXV4iojCOjx1a/EdylvPzkZniH35XB13ieYdK6mLnx3nGjIh6jaxi4xU/FAQ==" saltValue="+2J8G15oCQFRdTkSsUhF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ROTA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1084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108</v>
      </c>
      <c r="BD12" s="693">
        <f>IF(ISNUMBER(Datos!N12),Datos!N12," - ")</f>
        <v>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1.2129277566539924</v>
      </c>
      <c r="BH12" s="764">
        <f>IF(ISNUMBER(((IF(J_V="SI",Datos!L12/Datos!K12,(Datos!L12+Datos!AB12)/(Datos!K12+Datos!AA12)))*11)/factor_trimestre),((IF(J_V="SI",Datos!L12/Datos!K12,(Datos!L12+Datos!AB12)/(Datos!K12+Datos!AA12)))*11)/factor_trimestre," - ")</f>
        <v>5.9153605015673989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2.3607176581680833E-2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50</v>
      </c>
      <c r="AD14" s="1198">
        <f t="shared" si="2"/>
        <v>0</v>
      </c>
      <c r="AE14" s="1198">
        <f t="shared" si="2"/>
        <v>0</v>
      </c>
      <c r="AF14" s="1198">
        <f t="shared" si="2"/>
        <v>11</v>
      </c>
      <c r="AG14" s="1198">
        <f t="shared" si="2"/>
        <v>0</v>
      </c>
      <c r="AH14" s="1198">
        <f t="shared" si="2"/>
        <v>17</v>
      </c>
      <c r="AI14" s="1198">
        <f t="shared" si="2"/>
        <v>0</v>
      </c>
      <c r="AJ14" s="1198">
        <f t="shared" si="2"/>
        <v>0</v>
      </c>
      <c r="AK14" s="1198">
        <f t="shared" si="2"/>
        <v>0</v>
      </c>
      <c r="AL14" s="1198">
        <f t="shared" si="2"/>
        <v>0</v>
      </c>
      <c r="AM14" s="1198">
        <f t="shared" si="2"/>
        <v>1084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v>
      </c>
      <c r="BD14" s="1198">
        <f t="shared" si="2"/>
        <v>136</v>
      </c>
      <c r="BE14" s="1198">
        <f t="shared" si="2"/>
        <v>0</v>
      </c>
      <c r="BF14" s="1198">
        <f t="shared" si="2"/>
        <v>0</v>
      </c>
      <c r="BG14" s="1198">
        <f>IF(ISNUMBER(Datos!K14/Datos!J14),Datos!K14/Datos!J14," - ")</f>
        <v>1.2</v>
      </c>
      <c r="BH14" s="1202">
        <f>IF(ISNUMBER(((Datos!L14/Datos!K14)*11)/factor_trimestre),((Datos!L14/Datos!K14)*11)/factor_trimestre," - ")</f>
        <v>6.23</v>
      </c>
      <c r="BI14" s="1198">
        <f>IF(ISNUMBER('Resol  Asuntos'!D14/NºAsuntos!G14),'Resol  Asuntos'!D14/NºAsuntos!G14," - ")</f>
        <v>0.33855799373040751</v>
      </c>
      <c r="BJ14" s="1198" t="str">
        <f>IF(ISNUMBER(Datos!CI14/Datos!CJ14),Datos!CI14/Datos!CJ14," - ")</f>
        <v xml:space="preserve"> - </v>
      </c>
      <c r="BK14" s="1198">
        <f>SUBTOTAL(9,BK8:BK13)</f>
        <v>0</v>
      </c>
      <c r="BL14" s="1198">
        <f>IF(ISNUMBER((I14-AB14+L14)/(F14)),(I14-AB14+L14)/(F14)," - ")</f>
        <v>0</v>
      </c>
      <c r="BM14" s="1203">
        <f>SUBTOTAL(9,BM9:BM13)</f>
        <v>2.3607176581680833E-2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520</v>
      </c>
      <c r="G17" s="743">
        <f>IF(ISNUMBER(IF(D_I="SI",Datos!I17,Datos!I17+Datos!AC17)),IF(D_I="SI",Datos!I17,Datos!I17+Datos!AC17)," - ")</f>
        <v>520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291</v>
      </c>
      <c r="AC17" s="240">
        <f>IF(ISNUMBER(Datos!Q17),Datos!Q17," - ")</f>
        <v>16</v>
      </c>
      <c r="AD17" s="374"/>
      <c r="AE17" s="562"/>
      <c r="AF17" s="741">
        <f>IF(ISNUMBER(IF(D_I="SI",Datos!L17,Datos!L17+Datos!AF17)),IF(D_I="SI",Datos!L17,Datos!L17+Datos!AF17)," - ")</f>
        <v>496</v>
      </c>
      <c r="AG17" s="374"/>
      <c r="AH17" s="374"/>
      <c r="AI17" s="374"/>
      <c r="AJ17" s="549"/>
      <c r="AK17" s="374"/>
      <c r="AL17" s="545"/>
      <c r="AM17" s="375">
        <f>IF(ISNUMBER(Datos!R17),Datos!R17," - ")</f>
        <v>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108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1.0898876404494382</v>
      </c>
      <c r="BH17" s="764">
        <f>IF(ISNUMBER(((IF(D_I="SI",Datos!L17/Datos!K17,(Datos!L17+Datos!AF17)/(Datos!K17+Datos!AE17)))*11)/factor_trimestre),((IF(D_I="SI",Datos!L17/Datos!K17,(Datos!L17+Datos!AF17)/(Datos!K17+Datos!AE17)))*11)/factor_trimestre," - ")</f>
        <v>5.1134020618556706</v>
      </c>
      <c r="BI17" s="266">
        <f>IF(ISNUMBER('Resol  Asuntos'!D17/NºAsuntos!G17),'Resol  Asuntos'!D17/NºAsuntos!G17," - ")</f>
        <v>0.1718213058419244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3.375</v>
      </c>
      <c r="BI18" s="763">
        <f>IF(ISNUMBER('Resol  Asuntos'!D18/NºAsuntos!G18),'Resol  Asuntos'!D18/NºAsuntos!G18," - ")</f>
        <v>0.20833333333333334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520</v>
      </c>
      <c r="G23" s="1197">
        <f>SUBTOTAL(9,G16:G22)</f>
        <v>543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315</v>
      </c>
      <c r="AC23" s="1198">
        <f t="shared" si="5"/>
        <v>16</v>
      </c>
      <c r="AD23" s="1198">
        <f t="shared" si="5"/>
        <v>0</v>
      </c>
      <c r="AE23" s="1198">
        <f t="shared" si="5"/>
        <v>0</v>
      </c>
      <c r="AF23" s="1198">
        <f t="shared" si="5"/>
        <v>523</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124</v>
      </c>
      <c r="BE23" s="1198">
        <f t="shared" si="5"/>
        <v>0</v>
      </c>
      <c r="BF23" s="1198">
        <f t="shared" si="5"/>
        <v>0</v>
      </c>
      <c r="BG23" s="1198">
        <f>IF(ISNUMBER(Datos!K23/Datos!J23),Datos!K23/Datos!J23," - ")</f>
        <v>1.0677966101694916</v>
      </c>
      <c r="BH23" s="1202">
        <f>IF(ISNUMBER(((Datos!L23/Datos!K23)*11)/factor_trimestre),((Datos!L23/Datos!K23)*11)/factor_trimestre," - ")</f>
        <v>4.9809523809523819</v>
      </c>
      <c r="BI23" s="1198">
        <f>SUBTOTAL(9,BI16:BI22)</f>
        <v>0.38015463917525771</v>
      </c>
      <c r="BJ23" s="1198">
        <f>SUBTOTAL(9,BJ16:BJ22)</f>
        <v>0</v>
      </c>
      <c r="BK23" s="1198">
        <f>SUBTOTAL(9,BK16:BK22)</f>
        <v>0</v>
      </c>
      <c r="BL23" s="1198">
        <f>IF(ISNUMBER((I23-AB23+L23)/(F23)),(I23-AB23+L23)/(F23)," - ")</f>
        <v>-0.60576923076923073</v>
      </c>
      <c r="BM23" s="1205">
        <f>IF(ISNUMBER((Datos!P23-Datos!Q23)/(Datos!R23-Datos!P23+Datos!Q23)),(Datos!P23-Datos!Q23)/(Datos!R23-Datos!P23+Datos!Q23)," - ")</f>
        <v>-8.5106382978723402E-2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530</v>
      </c>
      <c r="G31" s="1117">
        <f t="shared" si="18"/>
        <v>553</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315</v>
      </c>
      <c r="AC31" s="1118">
        <f t="shared" si="19"/>
        <v>66</v>
      </c>
      <c r="AD31" s="1118">
        <f t="shared" si="19"/>
        <v>0</v>
      </c>
      <c r="AE31" s="1118">
        <f t="shared" si="19"/>
        <v>0</v>
      </c>
      <c r="AF31" s="1125">
        <f t="shared" si="19"/>
        <v>534</v>
      </c>
      <c r="AG31" s="1125">
        <f t="shared" si="19"/>
        <v>0</v>
      </c>
      <c r="AH31" s="1125">
        <f t="shared" si="19"/>
        <v>17</v>
      </c>
      <c r="AI31" s="1125">
        <f t="shared" si="19"/>
        <v>0</v>
      </c>
      <c r="AJ31" s="1118">
        <f t="shared" si="19"/>
        <v>0</v>
      </c>
      <c r="AK31" s="1125">
        <f t="shared" si="19"/>
        <v>0</v>
      </c>
      <c r="AL31" s="1125">
        <f t="shared" si="19"/>
        <v>0</v>
      </c>
      <c r="AM31" s="1125">
        <f t="shared" si="19"/>
        <v>1170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163</v>
      </c>
      <c r="BD31" s="1117">
        <f t="shared" si="19"/>
        <v>260</v>
      </c>
      <c r="BE31" s="1117">
        <f t="shared" si="19"/>
        <v>0</v>
      </c>
      <c r="BF31" s="1127">
        <f t="shared" si="19"/>
        <v>0</v>
      </c>
      <c r="BG31" s="1223">
        <f>IF(ISNUMBER(Datos!K31/Datos!J31),Datos!K31/Datos!J31," - ")</f>
        <v>1.128440366972477</v>
      </c>
      <c r="BH31" s="1223">
        <f>IF(ISNUMBER(((Datos!L31/Datos!K31)*11)/factor_trimestre),((Datos!L31/Datos!K31)*11)/factor_trimestre," - ")</f>
        <v>5.5902439024390249</v>
      </c>
      <c r="BI31" s="1103">
        <f>IF(ISNUMBER(Datos!J31/Datos!I31),Datos!J31/Datos!I31," - ")</f>
        <v>0.44819078947368424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-0.59433962264150941</v>
      </c>
      <c r="BM31" s="1188">
        <f>IF(ISNUMBER((Datos!P31-Datos!Q31+R31)/(Datos!R31-Datos!P31+Datos!Q31-R31)),(Datos!P31-Datos!Q31+R31)/(Datos!R31-Datos!P31+Datos!Q31-R31)," - ")</f>
        <v>1.4744145706851692E-2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265.98245556176573</v>
      </c>
      <c r="G33" s="674">
        <f>IF(ISNUMBER(STDEV(G8:G30)),STDEV(G8:G30),"-")</f>
        <v>255.35269726399994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145.93491700069589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47.197911576073544</v>
      </c>
      <c r="BD33" s="673"/>
      <c r="BE33" s="673">
        <f>IF(ISNUMBER(STDEV(BE8:BE30)),STDEV(BE8:BE30),"-")</f>
        <v>0</v>
      </c>
      <c r="BF33" s="678">
        <f>IF(ISNUMBER(STDEV(BF8:BF30)),STDEV(BF8:BF30),"-")</f>
        <v>0</v>
      </c>
      <c r="BG33" s="1052">
        <f>IF(ISNUMBER(STDEV(BG8:BG30)),STDEV(BG8:BG30),"-")</f>
        <v>0.46126893353192921</v>
      </c>
      <c r="BH33" s="1058">
        <f>IF(ISNUMBER(STDEV(BH8:BH30)),STDEV(BH8:BH30),"-")</f>
        <v>1.1100740735066479</v>
      </c>
      <c r="BI33" s="273">
        <f>IF(ISNUMBER(STDEV(BI8:BI30)),STDEV(BI8:BI30),"-")</f>
        <v>0.10031132091575158</v>
      </c>
      <c r="BJ33" s="244" t="str">
        <f>IF(ISNUMBER(BL33/BM33),BL33/BM33," - ")</f>
        <v xml:space="preserve"> - </v>
      </c>
      <c r="BK33" s="709"/>
      <c r="BL33" s="681">
        <f>IF(ISNUMBER(STDEV(BL8:BL30)),STDEV(BL8:BL30),"-")</f>
        <v>0.42834353091108163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YaMAcfmAGtWNhAubHNSO9EDkkhDO3zRpMxHxhXbyRVx2eRviFiuSDq5mMwuq6TW099U0HZmfDh6uBXdTaX+HA==" saltValue="bW0JrjeGgwkiZnHkAuIX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ROTA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1084</v>
      </c>
      <c r="AF12" s="693" t="str">
        <f>IF(ISNUMBER(Datos!BV12),Datos!BV12," - ")</f>
        <v xml:space="preserve"> - </v>
      </c>
      <c r="AG12" s="552" t="str">
        <f>IF(ISNUMBER(Datos!DV12),Datos!DV12," - ")</f>
        <v xml:space="preserve"> - </v>
      </c>
      <c r="AH12" s="553"/>
      <c r="AI12" s="554"/>
      <c r="AJ12" s="552">
        <f>IF(ISNUMBER(Datos!M12),Datos!M12," - ")</f>
        <v>108</v>
      </c>
      <c r="AK12" s="693">
        <f>IF(ISNUMBER(Datos!N12),Datos!N12," - ")</f>
        <v>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5.9153605015673989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2.3607176581680833E-2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50</v>
      </c>
      <c r="AA14" s="1199">
        <f t="shared" si="3"/>
        <v>11</v>
      </c>
      <c r="AB14" s="1199">
        <f t="shared" si="3"/>
        <v>0</v>
      </c>
      <c r="AC14" s="1199">
        <f t="shared" si="3"/>
        <v>0</v>
      </c>
      <c r="AD14" s="1199">
        <f t="shared" si="3"/>
        <v>0</v>
      </c>
      <c r="AE14" s="1199">
        <f t="shared" si="3"/>
        <v>1084</v>
      </c>
      <c r="AF14" s="1211">
        <f t="shared" si="3"/>
        <v>0</v>
      </c>
      <c r="AG14" s="1211">
        <f t="shared" si="3"/>
        <v>0</v>
      </c>
      <c r="AH14" s="1211">
        <f t="shared" si="3"/>
        <v>0</v>
      </c>
      <c r="AI14" s="1211">
        <f t="shared" si="3"/>
        <v>0</v>
      </c>
      <c r="AJ14" s="1211">
        <f t="shared" si="3"/>
        <v>108</v>
      </c>
      <c r="AK14" s="1211">
        <f t="shared" si="3"/>
        <v>136</v>
      </c>
      <c r="AL14" s="1211">
        <f t="shared" si="3"/>
        <v>0</v>
      </c>
      <c r="AM14" s="1211">
        <f t="shared" si="3"/>
        <v>0</v>
      </c>
      <c r="AN14" s="1211">
        <f t="shared" si="3"/>
        <v>0</v>
      </c>
      <c r="AO14" s="1203">
        <f>IF(ISNUMBER(((NºAsuntos!I14/NºAsuntos!G14)*11)/factor_trimestre),((NºAsuntos!I14/NºAsuntos!G14)*11)/factor_trimestre," - ")</f>
        <v>6.0188087774294665</v>
      </c>
      <c r="AP14" s="1213" t="str">
        <f>IF(ISNUMBER(Datos!CI14/Datos!CJ14),Datos!CI14/Datos!CJ14," - ")</f>
        <v xml:space="preserve"> - </v>
      </c>
      <c r="AQ14" s="1236">
        <f t="shared" ref="AQ14:AV14" si="4">SUBTOTAL(9,AQ9:AQ13)</f>
        <v>0</v>
      </c>
      <c r="AR14" s="1236">
        <f t="shared" si="4"/>
        <v>2.3607176581680833E-2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520</v>
      </c>
      <c r="G17" s="552">
        <f>IF(ISNUMBER(IF(D_I="SI",Datos!I17,Datos!I17+Datos!AC17)),IF(D_I="SI",Datos!I17,Datos!I17+Datos!AC17)," - ")</f>
        <v>520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291</v>
      </c>
      <c r="Z17" s="805">
        <f>IF(ISNUMBER(Datos!Q17),Datos!Q17," - ")</f>
        <v>16</v>
      </c>
      <c r="AA17" s="551">
        <f>IF(ISNUMBER(IF(D_I="SI",Datos!L17,Datos!L17+Datos!AF17)),IF(D_I="SI",Datos!L17,Datos!L17+Datos!AF17)," - ")</f>
        <v>496</v>
      </c>
      <c r="AB17" s="549"/>
      <c r="AC17" s="549"/>
      <c r="AD17" s="563"/>
      <c r="AE17" s="563">
        <f>IF(ISNUMBER(Datos!R17),Datos!R17," - ")</f>
        <v>86</v>
      </c>
      <c r="AF17" s="693" t="str">
        <f>IF(ISNUMBER(Datos!BV17),Datos!BV17," - ")</f>
        <v xml:space="preserve"> - </v>
      </c>
      <c r="AG17" s="552"/>
      <c r="AH17" s="553"/>
      <c r="AI17" s="554"/>
      <c r="AJ17" s="552">
        <f>IF(ISNUMBER(Datos!M17),Datos!M17," - ")</f>
        <v>50</v>
      </c>
      <c r="AK17" s="693">
        <f>IF(ISNUMBER(Datos!N17),Datos!N17," - ")</f>
        <v>108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5.1134020618556706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520</v>
      </c>
      <c r="G23" s="1197">
        <f>SUBTOTAL(9,G16:G22)</f>
        <v>543</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315</v>
      </c>
      <c r="Z23" s="1240">
        <f t="shared" si="6"/>
        <v>16</v>
      </c>
      <c r="AA23" s="1240">
        <f t="shared" si="6"/>
        <v>523</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55</v>
      </c>
      <c r="AK23" s="1240">
        <f t="shared" si="6"/>
        <v>124</v>
      </c>
      <c r="AL23" s="1240">
        <f t="shared" si="6"/>
        <v>0</v>
      </c>
      <c r="AM23" s="1240">
        <f t="shared" si="6"/>
        <v>0</v>
      </c>
      <c r="AN23" s="1240">
        <f t="shared" si="6"/>
        <v>0</v>
      </c>
      <c r="AO23" s="1242">
        <f>IF(ISNUMBER(((NºAsuntos!I23/NºAsuntos!G23)*11)/factor_trimestre),((NºAsuntos!I23/NºAsuntos!G23)*11)/factor_trimestre," - ")</f>
        <v>4.9809523809523819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530</v>
      </c>
      <c r="G31" s="1117">
        <f t="shared" si="12"/>
        <v>553</v>
      </c>
      <c r="H31" s="1118">
        <f t="shared" si="12"/>
        <v>0</v>
      </c>
      <c r="I31" s="1117">
        <f t="shared" si="12"/>
        <v>0</v>
      </c>
      <c r="J31" s="1119">
        <f t="shared" si="12"/>
        <v>0</v>
      </c>
      <c r="K31" s="1117">
        <f t="shared" si="12"/>
        <v>0</v>
      </c>
      <c r="L31" s="1120">
        <f t="shared" si="12"/>
        <v>0</v>
      </c>
      <c r="M31" s="1117">
        <f t="shared" si="12"/>
        <v>0</v>
      </c>
      <c r="N31" s="1118">
        <f t="shared" si="12"/>
        <v>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315</v>
      </c>
      <c r="Z31" s="1124">
        <f t="shared" si="13"/>
        <v>66</v>
      </c>
      <c r="AA31" s="1125">
        <f t="shared" si="13"/>
        <v>534</v>
      </c>
      <c r="AB31" s="1125">
        <f t="shared" si="13"/>
        <v>0</v>
      </c>
      <c r="AC31" s="1125">
        <f t="shared" si="13"/>
        <v>0</v>
      </c>
      <c r="AD31" s="1126">
        <f t="shared" si="13"/>
        <v>0</v>
      </c>
      <c r="AE31" s="1126">
        <f t="shared" si="13"/>
        <v>1170</v>
      </c>
      <c r="AF31" s="1127">
        <f t="shared" si="13"/>
        <v>0</v>
      </c>
      <c r="AG31" s="1128">
        <f t="shared" si="13"/>
        <v>0</v>
      </c>
      <c r="AH31" s="1129">
        <f t="shared" si="13"/>
        <v>0</v>
      </c>
      <c r="AI31" s="1127">
        <f t="shared" si="13"/>
        <v>0</v>
      </c>
      <c r="AJ31" s="1117">
        <f t="shared" si="13"/>
        <v>163</v>
      </c>
      <c r="AK31" s="1117">
        <f t="shared" si="13"/>
        <v>260</v>
      </c>
      <c r="AL31" s="1117">
        <f t="shared" si="13"/>
        <v>0</v>
      </c>
      <c r="AM31" s="1130">
        <f t="shared" si="13"/>
        <v>0</v>
      </c>
      <c r="AN31" s="1120">
        <f>IF(ISNUMBER(Datos!K31/Datos!J31),Datos!K31/Datos!J31," - ")</f>
        <v>1.128440366972477</v>
      </c>
      <c r="AO31" s="1120">
        <f>IF(ISNUMBER(FIND("06",Criterios!A8,1)),(IF(ISNUMBER(((Datos!R31/Datos!Q31)*11)/factor_trimestre),((Datos!R31/Datos!Q31)*11)/factor_trimestre," - ")),(IF(ISNUMBER(((Datos!L31/Datos!K31)*11)/factor_trimestre),((Datos!L31/Datos!K31)*11)/factor_trimestre," - ")))</f>
        <v>5.5902439024390249</v>
      </c>
      <c r="AP31" s="1131" t="str">
        <f>IF(ISNUMBER(Datos!CI31/Datos!CJ31),Datos!CI31/Datos!CJ31," - ")</f>
        <v xml:space="preserve"> - </v>
      </c>
      <c r="AQ31" s="1131">
        <f>IF(OR(ISNUMBER(FIND("01",Criterios!A8,1)),ISNUMBER(FIND("02",Criterios!A8,1)),ISNUMBER(FIND("03",Criterios!A8,1)),ISNUMBER(FIND("04",Criterios!A8,1))),(J31-Y31+K31)/(F31-K31),(I31-Y31+K31)/(F31-K31))</f>
        <v>-0.59433962264150941</v>
      </c>
      <c r="AR31" s="1131">
        <f>IF(ISNUMBER((Datos!P31-Datos!Q31+O31)/(Datos!R31-Datos!P31+Datos!Q31-O31)),(Datos!P31-Datos!Q31+O31)/(Datos!R31-Datos!P31+Datos!Q31-O31)," - ")</f>
        <v>1.4744145706851692E-2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265.98245556176573</v>
      </c>
      <c r="G33" s="674">
        <f>IF(ISNUMBER(STDEV(G8:G30)),STDEV(G8:G30),"-")</f>
        <v>255.35269726399994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47.197911576073544</v>
      </c>
      <c r="AK33" s="276"/>
      <c r="AL33" s="276">
        <f>IF(ISNUMBER(STDEV(AL8:AL30)),STDEV(AL8:AL30),"-")</f>
        <v>0</v>
      </c>
      <c r="AM33" s="278">
        <f>IF(ISNUMBER(STDEV(AM8:AM30)),STDEV(AM8:AM30),"-")</f>
        <v>0</v>
      </c>
      <c r="AN33" s="660">
        <f>IF(ISNUMBER(STDEV(AN8:AN30)),STDEV(AN8:AN30),"-")</f>
        <v>0</v>
      </c>
      <c r="AO33" s="661">
        <f>IF(ISNUMBER(STDEV(AO8:AO30)),STDEV(AO8:AO30),"-")</f>
        <v>1.0603227967710724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sQ6aDtMwOmznRC7LQ0joyAYR4lcpVSsa6yBEXJJhnLF59/dmpGmbzS3KSHeyJ55Yl2oVuHbMcd91Y6Zb1zKg==" saltValue="wCa6l0KTk+IgJr78rjE0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O/y04E2FdzBievvT27mUOzeYT5GjqmlSKXO0QM0Z4SDmuhcaoKztdNeuSeYzM49hSekqsOtH9szyOabAP1QLg==" saltValue="gPZ95FUTXqjrlrF3mF1H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uuISMGUCwaXzIQUy1XnWYrZ8ioaWpxKf6Ca9ezJH5SYSRyWkl2DanDHl3MeX2+Dk8o1Me6Jsw7DEU5yalQcEA==" saltValue="ntHCs2D7fRdi7U3ypCxm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ROTA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0.33855799373040751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0.23939665319168379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2V0gZtb9ZBFZGz6rFr43qiDuHHo4ZZjE5pS2LD1PwmKYWz+00x4tF1RU1IUJ7KehNLGjkKxYWpRkGFalxvk5w==" saltValue="nlK3HvflMR6D3/w82x74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F1rqodnBFAz4i48xKhN/FlPbcsZ+MJxzdOOwdEJI/vj9w6K1tMcpipKXsSaXfYvJ/wBQwDAsq+2thTlfEreoA==" saltValue="MsJEG+rp3y8C7oNTZNTA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ROTA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1</v>
      </c>
      <c r="F10" s="452">
        <f>IF(ISNUMBER(E10/B10),E10/B10," - ")</f>
        <v>1</v>
      </c>
      <c r="G10" s="451">
        <f>IF(ISNUMBER(Datos!K10),Datos!K10," - ")</f>
        <v>0</v>
      </c>
      <c r="H10" s="452">
        <f>IF(ISNUMBER(G10/B10),G10/B10," - ")</f>
        <v>0</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685</v>
      </c>
      <c r="D12" s="452">
        <f>IF(ISNUMBER(C12/Datos!BH12),C12/Datos!BH12," - ")</f>
        <v>342.5</v>
      </c>
      <c r="E12" s="451">
        <f>IF(ISNUMBER(IF(J_V="SI",Datos!J12,Datos!J12+Datos!Z12)),IF(J_V="SI",Datos!J12,Datos!J12+Datos!Z12)," - ")</f>
        <v>263</v>
      </c>
      <c r="F12" s="452">
        <f>IF(ISNUMBER(E12/B12),E12/B12," - ")</f>
        <v>131.5</v>
      </c>
      <c r="G12" s="451">
        <f>IF(ISNUMBER(IF(J_V="SI",Datos!K12,Datos!K12+Datos!AA12)),IF(J_V="SI",Datos!K12,Datos!K12+Datos!AA12)," - ")</f>
        <v>319</v>
      </c>
      <c r="H12" s="452">
        <f>IF(ISNUMBER(G12/B12),G12/B12," - ")</f>
        <v>159.5</v>
      </c>
      <c r="I12" s="451">
        <f>IF(ISNUMBER(IF(J_V="SI",Datos!L12,Datos!L12+Datos!AB12)),IF(J_V="SI",Datos!L12,Datos!L12+Datos!AB12)," - ")</f>
        <v>629</v>
      </c>
      <c r="J12" s="452">
        <f>IF(ISNUMBER(I12/B12),I12/B12," - ")</f>
        <v>314.5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695</v>
      </c>
      <c r="D14" s="1147" t="str">
        <f>IF(ISNUMBER(C14/Datos!BI14),C14/Datos!BI14," - ")</f>
        <v xml:space="preserve"> - </v>
      </c>
      <c r="E14" s="1146">
        <f>SUBTOTAL(9,E8:E13)</f>
        <v>264</v>
      </c>
      <c r="F14" s="1147">
        <f>IF(ISNUMBER(E14/B14),E14/B14," - ")</f>
        <v>132</v>
      </c>
      <c r="G14" s="1146">
        <f>SUBTOTAL(9,G8:G13)</f>
        <v>319</v>
      </c>
      <c r="H14" s="1147">
        <f>IF(ISNUMBER(G14/B14),G14/B14," - ")</f>
        <v>159.5</v>
      </c>
      <c r="I14" s="1146">
        <f>SUBTOTAL(9,I8:I13)</f>
        <v>640</v>
      </c>
      <c r="J14" s="1147">
        <f>IF(ISNUMBER(I14/B14),I14/B14," - ")</f>
        <v>320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520</v>
      </c>
      <c r="D17" s="452">
        <f>IF(ISNUMBER(C17/Datos!BH17),C17/Datos!BH17," - ")</f>
        <v>260</v>
      </c>
      <c r="E17" s="451">
        <f>IF(ISNUMBER(IF(D_I="SI",Datos!J17,Datos!J17+Datos!AD17)),IF(D_I="SI",Datos!J17,Datos!J17+Datos!AD17)," - ")</f>
        <v>267</v>
      </c>
      <c r="F17" s="452">
        <f>IF(ISNUMBER(E17/B17),E17/B17," - ")</f>
        <v>133.5</v>
      </c>
      <c r="G17" s="451">
        <f>IF(ISNUMBER(IF(D_I="SI",Datos!K17,Datos!K17+Datos!AE17)),IF(D_I="SI",Datos!K17,Datos!K17+Datos!AE17)," - ")</f>
        <v>291</v>
      </c>
      <c r="H17" s="452">
        <f>IF(ISNUMBER(G17/B17),G17/B17," - ")</f>
        <v>145.5</v>
      </c>
      <c r="I17" s="451">
        <f>IF(ISNUMBER(IF(D_I="SI",Datos!L17,Datos!L17+Datos!AF17)),IF(D_I="SI",Datos!L17,Datos!L17+Datos!AF17)," - ")</f>
        <v>496</v>
      </c>
      <c r="J17" s="452">
        <f>IF(ISNUMBER(I17/B17),I17/B17," - ")</f>
        <v>248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28</v>
      </c>
      <c r="F18" s="452">
        <f>IF(ISNUMBER(E18/B18),E18/B18," - ")</f>
        <v>28</v>
      </c>
      <c r="G18" s="451">
        <f>IF(ISNUMBER(IF(D_I="SI",Datos!K18,Datos!K18+Datos!AE18)),IF(D_I="SI",Datos!K18,Datos!K18+Datos!AE18)," - ")</f>
        <v>24</v>
      </c>
      <c r="H18" s="452">
        <f>IF(ISNUMBER(G18/B18),G18/B18," - ")</f>
        <v>24</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543</v>
      </c>
      <c r="D23" s="1147" t="str">
        <f>IF(ISNUMBER(C23/Datos!BI23),C23/Datos!BI23," - ")</f>
        <v xml:space="preserve"> - </v>
      </c>
      <c r="E23" s="1146">
        <f>SUBTOTAL(9,E15:E22)</f>
        <v>295</v>
      </c>
      <c r="F23" s="1147">
        <f>IF(ISNUMBER(E23/B23),E23/B23," - ")</f>
        <v>147.5</v>
      </c>
      <c r="G23" s="1146">
        <f>SUBTOTAL(9,G15:G22)</f>
        <v>315</v>
      </c>
      <c r="H23" s="1147">
        <f>IF(ISNUMBER(G23/B23),G23/B23," - ")</f>
        <v>157.5</v>
      </c>
      <c r="I23" s="1146">
        <f>SUBTOTAL(9,I15:I22)</f>
        <v>523</v>
      </c>
      <c r="J23" s="1147">
        <f>IF(ISNUMBER(I23/B23),I23/B23," - ")</f>
        <v>261.5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1238</v>
      </c>
      <c r="D31" s="1085" t="str">
        <f>IF(ISNUMBER(C31/Datos!BI31),C31/Datos!BI31," - ")</f>
        <v xml:space="preserve"> - </v>
      </c>
      <c r="E31" s="1084">
        <f>SUBTOTAL(9,E9:E30)</f>
        <v>559</v>
      </c>
      <c r="F31" s="1085">
        <f>IF(ISNUMBER(E31/B31),E31/B31," - ")</f>
        <v>279.5</v>
      </c>
      <c r="G31" s="1084">
        <f>SUBTOTAL(9,G9:G30)</f>
        <v>634</v>
      </c>
      <c r="H31" s="1085">
        <f>IF(ISNUMBER(G31/B31),G31/B31," - ")</f>
        <v>317</v>
      </c>
      <c r="I31" s="1084">
        <f>SUBTOTAL(9,I9:I30)</f>
        <v>1163</v>
      </c>
      <c r="J31" s="1085">
        <f>IF(ISNUMBER(I31/B31),I31/B31," - ")</f>
        <v>581.5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Bd5imJ4nldRSSfu2GitR43jcLMsjszApekDRWFf4X7E+2qThTPbRzlwUh/M9MvfDeuO/fuDnvTBr81e+d4d4w==" saltValue="SLi+f0epBDeu3rL3yRx9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ROTA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108</v>
      </c>
      <c r="AM12" s="914">
        <f>IF(ISNUMBER(Datos!N12+DatosP!N17),Datos!N12+DatosP!N17," - ")</f>
        <v>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5.9153605015673989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2.3607176581680833E-2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50</v>
      </c>
      <c r="AE14" s="1257">
        <f t="shared" si="1"/>
        <v>0</v>
      </c>
      <c r="AF14" s="1257">
        <f t="shared" si="1"/>
        <v>11</v>
      </c>
      <c r="AG14" s="1257">
        <f t="shared" si="1"/>
        <v>0</v>
      </c>
      <c r="AH14" s="1257">
        <f t="shared" si="1"/>
        <v>1084</v>
      </c>
      <c r="AI14" s="1257">
        <f t="shared" si="1"/>
        <v>0</v>
      </c>
      <c r="AJ14" s="1257">
        <f t="shared" si="1"/>
        <v>0</v>
      </c>
      <c r="AK14" s="1257">
        <f t="shared" si="1"/>
        <v>0</v>
      </c>
      <c r="AL14" s="1257">
        <f t="shared" si="1"/>
        <v>108</v>
      </c>
      <c r="AM14" s="1257">
        <f t="shared" si="1"/>
        <v>136</v>
      </c>
      <c r="AN14" s="1257">
        <f t="shared" si="1"/>
        <v>0</v>
      </c>
      <c r="AO14" s="1257">
        <f t="shared" si="1"/>
        <v>0</v>
      </c>
      <c r="AP14" s="1262">
        <f>IF(ISNUMBER(((Datos!L14/Datos!K14)*11)/factor_trimestre),((Datos!L14/Datos!K14)*11)/factor_trimestre," - ")</f>
        <v>6.23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2.3607176581680833E-2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4.9809523809523819</v>
      </c>
      <c r="AQ23" s="1262">
        <f>IF(ISNUMBER(((Datos!M23/Datos!L23)*11)/factor_trimestre),((Datos!M23/Datos!L23)*11)/factor_trimestre," - ")</f>
        <v>0.31548757170172081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-8.5106382978723402E-2</v>
      </c>
      <c r="AW23" s="1265">
        <f>IF(ISNUMBER((Datos!Q23-Datos!R23)/(Datos!S23-Datos!Q23+Datos!R23)),(Datos!Q23-Datos!R23)/(Datos!S23-Datos!Q23+Datos!R23)," - ")</f>
        <v>-0.14861995753715498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50</v>
      </c>
      <c r="AE31" s="1284">
        <f t="shared" si="9"/>
        <v>0</v>
      </c>
      <c r="AF31" s="1285">
        <f t="shared" si="9"/>
        <v>11</v>
      </c>
      <c r="AG31" s="1285">
        <f t="shared" si="9"/>
        <v>0</v>
      </c>
      <c r="AH31" s="1285">
        <f t="shared" si="9"/>
        <v>1084</v>
      </c>
      <c r="AI31" s="1285">
        <f t="shared" si="9"/>
        <v>0</v>
      </c>
      <c r="AJ31" s="1286">
        <f t="shared" si="9"/>
        <v>0</v>
      </c>
      <c r="AK31" s="1286">
        <f t="shared" si="9"/>
        <v>0</v>
      </c>
      <c r="AL31" s="1278">
        <f t="shared" si="9"/>
        <v>108</v>
      </c>
      <c r="AM31" s="1278">
        <f t="shared" si="9"/>
        <v>136</v>
      </c>
      <c r="AN31" s="1278">
        <f t="shared" si="9"/>
        <v>0</v>
      </c>
      <c r="AO31" s="1278">
        <f t="shared" si="9"/>
        <v>0</v>
      </c>
      <c r="AP31" s="1278">
        <f>IF(ISNUMBER(((Datos!L31/Datos!K31)*11)/factor_trimestre),((Datos!L31/Datos!K31)*11)/factor_trimestre," - ")</f>
        <v>5.5902439024390249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1.4744145706851692E-2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55.770960185386805</v>
      </c>
      <c r="AM33" s="1006"/>
      <c r="AN33" s="1006">
        <f>IF(ISNUMBER(STDEV(AN8:AN30)),STDEV(AN8:AN30),"-")</f>
        <v>0</v>
      </c>
      <c r="AO33" s="1012">
        <f>IF(ISNUMBER(STDEV(AO8:AO30)),STDEV(AO8:AO30),"-")</f>
        <v>0</v>
      </c>
      <c r="AP33" s="1065">
        <f>IF(ISNUMBER(STDEV(AP8:AP30)),STDEV(AP8:AP30),"-")</f>
        <v>0.64964560909439084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cxuSG6AUV83AaMLVJ0BwwC/DNpc9CEx6LvWNR22SGiDq2srG0N3kxOOHkyp0BaGR3WI6I6lqqrVPFR85jxicA==" saltValue="gtcN6VC7gu8r8X9tI1If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ROTA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GMcR0b/+lBCZqkBWqIgT3AzHt2d6/DfIoOEiXk2r96AS+3TPA7dxOWs564lyf8EiVFfOfUgH4o1ufKh4ksw1g==" saltValue="AtyC2dpxs7bIdJOiO0vE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ROTA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108</v>
      </c>
      <c r="E12" s="452">
        <f t="shared" si="0"/>
        <v>54</v>
      </c>
      <c r="F12" s="451">
        <f>IF(ISNUMBER(Datos!N12),Datos!N12," - ")</f>
        <v>136</v>
      </c>
      <c r="G12" s="452">
        <f t="shared" si="1"/>
        <v>68</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108</v>
      </c>
      <c r="E14" s="1147">
        <f t="shared" si="0"/>
        <v>36</v>
      </c>
      <c r="F14" s="1146">
        <f>SUBTOTAL(9,F9:F13)</f>
        <v>136</v>
      </c>
      <c r="G14" s="1147">
        <f t="shared" si="1"/>
        <v>45.333333333333336</v>
      </c>
      <c r="H14" s="1146">
        <f>SUBTOTAL(9,H9:H13)</f>
        <v>81</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108</v>
      </c>
      <c r="G17" s="452">
        <f t="shared" si="4"/>
        <v>54</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124</v>
      </c>
      <c r="G23" s="1147">
        <f t="shared" si="4"/>
        <v>41.333333333333336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163</v>
      </c>
      <c r="E31" s="1085">
        <f>IF(ISNUMBER(D31/B31),D31/B31," - ")</f>
        <v>81.5</v>
      </c>
      <c r="F31" s="1084">
        <f>SUBTOTAL(9,F8:F30)</f>
        <v>260</v>
      </c>
      <c r="G31" s="1085">
        <f>IF(ISNUMBER(F31/B31),F31/B31," - ")</f>
        <v>130</v>
      </c>
      <c r="H31" s="1084">
        <f>SUBTOTAL(9,H8:H30)</f>
        <v>81</v>
      </c>
      <c r="I31" s="1085">
        <f>IF(ISNUMBER(H31/B31),H31/B31," - ")</f>
        <v>40.5</v>
      </c>
    </row>
    <row r="34" spans="1:1">
      <c r="A34" s="439" t="str">
        <f>Criterios!A4</f>
        <v>Fecha Informe: 05 may. 2023</v>
      </c>
    </row>
    <row r="39" spans="1:1">
      <c r="A39" s="462"/>
    </row>
  </sheetData>
  <sheetProtection algorithmName="SHA-512" hashValue="erLs3OpUqbyQksyTk0CH0nPeSJeoP6AAIXeQvuk3QcX/WdWIq0P4TE49bv/dnGfKDxWwpK7l9j9J2lR6gfLaIw==" saltValue="yrcnbkYfJAcwrKdAk7DS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ROTA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50</v>
      </c>
      <c r="D12" s="456">
        <f>IF(ISNUMBER(Datos!R12),Datos!R12," - ")</f>
        <v>1084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v>
      </c>
      <c r="C14" s="1150">
        <f>SUBTOTAL(9,C9:C13)</f>
        <v>50</v>
      </c>
      <c r="D14" s="1148">
        <f>SUBTOTAL(9,D9:D13)</f>
        <v>1084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16</v>
      </c>
      <c r="D17" s="456">
        <f>IF(ISNUMBER(Datos!R17),Datos!R17," - ")</f>
        <v>86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16</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v>
      </c>
      <c r="C31" s="1089">
        <f>SUBTOTAL(9,C8:C30)</f>
        <v>66</v>
      </c>
      <c r="D31" s="1090">
        <f>SUBTOTAL(9,D8:D30)</f>
        <v>1170</v>
      </c>
    </row>
    <row r="32" spans="1:4" ht="7.5" customHeight="1"/>
    <row r="33" spans="1:1" ht="6" customHeight="1"/>
    <row r="34" spans="1:1">
      <c r="A34" s="439" t="str">
        <f>Criterios!A4</f>
        <v>Fecha Informe: 05 may. 2023</v>
      </c>
    </row>
    <row r="39" spans="1:1">
      <c r="A39" s="462"/>
    </row>
  </sheetData>
  <sheetProtection algorithmName="SHA-512" hashValue="+OWz0ckrymnnPZLRM/wE9RJ5EtXpsSgOdsxUECb4JBw3XcGRcDAw+t8jbQVZKrlXmu+VZyOPqgVIPIJaL53YFA==" saltValue="94I1K3DCU3onr4y+hyiI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ROTA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-0.9</v>
      </c>
      <c r="D10" s="515">
        <f>IF(ISNUMBER((Datos!K10-Datos!U10)/Datos!U10),(Datos!K10-Datos!U10)/Datos!U10," - ")</f>
        <v>-1</v>
      </c>
      <c r="E10" s="515">
        <f>IF(ISNUMBER((Datos!L10-Datos!V10)/Datos!V10),(Datos!L10-Datos!V10)/Datos!V10," - ")</f>
        <v>0.1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-8.2998661311914329E-2</v>
      </c>
      <c r="C12" s="515">
        <f>IF(ISNUMBER(
   IF(J_V="SI",(Datos!J12-Datos!T12)/Datos!T12,(Datos!J12+Datos!Z12-(Datos!T12+Datos!AH12))/(Datos!T12+Datos!AH12))
     ),IF(J_V="SI",(Datos!J12-Datos!T12)/Datos!T12,(Datos!J12+Datos!Z12-(Datos!T12+Datos!AH12))/(Datos!T12+Datos!AH12))," - ")</f>
        <v>-0.20783132530120482</v>
      </c>
      <c r="D12" s="515">
        <f>IF(ISNUMBER(
   IF(J_V="SI",(Datos!K12-Datos!U12)/Datos!U12,(Datos!K12+Datos!AA12-(Datos!U12+Datos!AI12))/(Datos!U12+Datos!AI12))
     ),IF(J_V="SI",(Datos!K12-Datos!U12)/Datos!U12,(Datos!K12+Datos!AA12-(Datos!U12+Datos!AI12))/(Datos!U12+Datos!AI12))," - ")</f>
        <v>-0.11878453038674033</v>
      </c>
      <c r="E12" s="515">
        <f>IF(ISNUMBER(
   IF(J_V="SI",(Datos!L12-Datos!V12)/Datos!V12,(Datos!L12+Datos!AB12-(Datos!V12+Datos!AJ12))/(Datos!V12+Datos!AJ12))
     ),IF(J_V="SI",(Datos!L12-Datos!V12)/Datos!V12,(Datos!L12+Datos!AB12-(Datos!V12+Datos!AJ12))/(Datos!V12+Datos!AJ12))," - ")</f>
        <v>-0.12273361227336123</v>
      </c>
      <c r="F12" s="515">
        <f>IF(ISNUMBER((Datos!M12-Datos!W12)/Datos!W12),(Datos!M12-Datos!W12)/Datos!W12," - ")</f>
        <v>0.58823529411764708</v>
      </c>
      <c r="G12" s="516">
        <f>IF(ISNUMBER((Datos!N12-Datos!X12)/Datos!X12),(Datos!N12-Datos!X12)/Datos!X12," - ")</f>
        <v>-0.2138728323699422</v>
      </c>
      <c r="H12" s="514">
        <f>IF(ISNUMBER(((NºAsuntos!G12/NºAsuntos!E12)-Datos!BD12)/Datos!BD12),((NºAsuntos!G12/NºAsuntos!E12)-Datos!BD12)/Datos!BD12," - ")</f>
        <v>0.11240888179316433</v>
      </c>
      <c r="I12" s="515">
        <f>IF(ISNUMBER(((NºAsuntos!I12/NºAsuntos!G12)-Datos!BE12)/Datos!BE12),((NºAsuntos!I12/NºAsuntos!G12)-Datos!BE12)/Datos!BE12," - ")</f>
        <v>-4.4814032694569569E-3</v>
      </c>
      <c r="J12" s="521">
        <f>IF(ISNUMBER((('Resol  Asuntos'!D12/NºAsuntos!G12)-Datos!BF12)/Datos!BF12),(('Resol  Asuntos'!D12/NºAsuntos!G12)-Datos!BF12)/Datos!BF12," - ")</f>
        <v>-0.29157229057567907</v>
      </c>
      <c r="K12" s="522">
        <f>IF(ISNUMBER((((NºAsuntos!C12+NºAsuntos!E12)/NºAsuntos!G12)-Datos!BG12)/Datos!BG12),(((NºAsuntos!C12+NºAsuntos!E12)/NºAsuntos!G12)-Datos!BG12)/Datos!BG12," - ")</f>
        <v>-2.9779111623732327E-3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-8.0687830687830683E-2</v>
      </c>
      <c r="C14" s="1152">
        <f>IF(ISNUMBER(
   IF(J_V="SI",(Datos!J14-Datos!T14)/Datos!T14,(Datos!J14+Datos!Z14-(Datos!T14+Datos!AH14))/(Datos!T14+Datos!AH14))
     ),IF(J_V="SI",(Datos!J14-Datos!T14)/Datos!T14,(Datos!J14+Datos!Z14-(Datos!T14+Datos!AH14))/(Datos!T14+Datos!AH14))," - ")</f>
        <v>-0.22807017543859648</v>
      </c>
      <c r="D14" s="1152">
        <f>IF(ISNUMBER(
   IF(J_V="SI",(Datos!K14-Datos!U14)/Datos!U14,(Datos!K14+Datos!AA14-(Datos!U14+Datos!AI14))/(Datos!U14+Datos!AI14))
     ),IF(J_V="SI",(Datos!K14-Datos!U14)/Datos!U14,(Datos!K14+Datos!AA14-(Datos!U14+Datos!AI14))/(Datos!U14+Datos!AI14))," - ")</f>
        <v>-0.14016172506738545</v>
      </c>
      <c r="E14" s="1152">
        <f>IF(ISNUMBER(
   IF(J_V="SI",(Datos!L14-Datos!V14)/Datos!V14,(Datos!L14+Datos!AB14-(Datos!V14+Datos!AJ14))/(Datos!V14+Datos!AJ14))
     ),IF(J_V="SI",(Datos!L14-Datos!V14)/Datos!V14,(Datos!L14+Datos!AB14-(Datos!V14+Datos!AJ14))/(Datos!V14+Datos!AJ14))," - ")</f>
        <v>-0.11966987620357634</v>
      </c>
      <c r="F14" s="1153">
        <f>IF(ISNUMBER((Datos!M14-Datos!W14)/Datos!W14),(Datos!M14-Datos!W14)/Datos!W14," - ")</f>
        <v>0.58823529411764708</v>
      </c>
      <c r="G14" s="1154">
        <f>IF(ISNUMBER((Datos!N14-Datos!X14)/Datos!X14),(Datos!N14-Datos!X14)/Datos!X14," - ")</f>
        <v>-0.2138728323699422</v>
      </c>
      <c r="H14" s="1154">
        <f>IF(ISNUMBER(((NºAsuntos!G14/NºAsuntos!E14)-Datos!BD14)/Datos!BD14),((NºAsuntos!G14/NºAsuntos!E14)-Datos!BD14)/Datos!BD14," - ")</f>
        <v>0.11388140161725063</v>
      </c>
      <c r="I14" s="1154">
        <f>IF(ISNUMBER(((NºAsuntos!I14/NºAsuntos!G14)-Datos!BE14)/Datos!BE14),((NºAsuntos!I14/NºAsuntos!G14)-Datos!BE14)/Datos!BE14," - ")</f>
        <v>2.3832212941922053E-2</v>
      </c>
      <c r="J14" s="1154">
        <f>IF(ISNUMBER((('Resol  Asuntos'!D14/NºAsuntos!G14)-Datos!BF14)/Datos!BF14),(('Resol  Asuntos'!D14/NºAsuntos!G14)-Datos!BF14)/Datos!BF14," - ")</f>
        <v>-0.27395944697120705</v>
      </c>
      <c r="K14" s="1154">
        <f>IF(ISNUMBER((((NºAsuntos!C14+NºAsuntos!E14)/NºAsuntos!G14)-Datos!BG14)/Datos!BG14),(((NºAsuntos!C14+NºAsuntos!E14)/NºAsuntos!G14)-Datos!BG14)/Datos!BG14," - ")</f>
        <v>1.5779616401436627E-2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0.38666666666666666</v>
      </c>
      <c r="C17" s="515">
        <f>IF(ISNUMBER(
   IF(D_I="SI",(Datos!J17-Datos!T17)/Datos!T17,(Datos!J17+Datos!AD17-(Datos!T17+Datos!AL17))/(Datos!T17+Datos!AL17))
     ),IF(D_I="SI",(Datos!J17-Datos!T17)/Datos!T17,(Datos!J17+Datos!AD17-(Datos!T17+Datos!AL17))/(Datos!T17+Datos!AL17))," - ")</f>
        <v>7.2289156626506021E-2</v>
      </c>
      <c r="D17" s="515">
        <f>IF(ISNUMBER(
   IF(D_I="SI",(Datos!K17-Datos!U17)/Datos!U17,(Datos!K17+Datos!AE17-(Datos!U17+Datos!AM17))/(Datos!U17+Datos!AM17))
     ),IF(D_I="SI",(Datos!K17-Datos!U17)/Datos!U17,(Datos!K17+Datos!AE17-(Datos!U17+Datos!AM17))/(Datos!U17+Datos!AM17))," - ")</f>
        <v>0.11923076923076924</v>
      </c>
      <c r="E17" s="515">
        <f>IF(ISNUMBER(
   IF(D_I="SI",(Datos!L17-Datos!V17)/Datos!V17,(Datos!L17+Datos!AF17-(Datos!V17+Datos!AN17))/(Datos!V17+Datos!AN17))
     ),IF(D_I="SI",(Datos!L17-Datos!V17)/Datos!V17,(Datos!L17+Datos!AF17-(Datos!V17+Datos!AN17))/(Datos!V17+Datos!AN17))," - ")</f>
        <v>0.35890410958904112</v>
      </c>
      <c r="F17" s="515">
        <f>IF(ISNUMBER((Datos!M17-Datos!W17)/Datos!W17),(Datos!M17-Datos!W17)/Datos!W17," - ")</f>
        <v>-0.12280701754385964</v>
      </c>
      <c r="G17" s="516">
        <f>IF(ISNUMBER((Datos!N17-Datos!X17)/Datos!X17),(Datos!N17-Datos!X17)/Datos!X17," - ")</f>
        <v>-0.25</v>
      </c>
      <c r="H17" s="514">
        <f>IF(ISNUMBER(((NºAsuntos!G17/NºAsuntos!E17)-Datos!BD17)/Datos!BD17),((NºAsuntos!G17/NºAsuntos!E17)-Datos!BD17)/Datos!BD17," - ")</f>
        <v>4.3777009507346476E-2</v>
      </c>
      <c r="I17" s="515">
        <f>IF(ISNUMBER(((NºAsuntos!I17/NºAsuntos!G17)-Datos!BE17)/Datos!BE17),((NºAsuntos!I17/NºAsuntos!G17)-Datos!BE17)/Datos!BE17," - ")</f>
        <v>0.21414112884244227</v>
      </c>
      <c r="J17" s="521">
        <f>IF(ISNUMBER((('Resol  Asuntos'!D17/NºAsuntos!G17)-Datos!BF17)/Datos!BF17),(('Resol  Asuntos'!D17/NºAsuntos!G17)-Datos!BF17)/Datos!BF17," - ")</f>
        <v>-0.21625369265087116</v>
      </c>
      <c r="K17" s="522">
        <f>IF(ISNUMBER((((NºAsuntos!C17+NºAsuntos!E17)/NºAsuntos!G17)-Datos!BG17)/Datos!BG17),(((NºAsuntos!C17+NºAsuntos!E17)/NºAsuntos!G17)-Datos!BG17)/Datos!BG17," - ")</f>
        <v>0.12686139747995429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-0.11538461538461539</v>
      </c>
      <c r="C18" s="515">
        <f>IF(ISNUMBER(
   IF(D_I="SI",(Datos!J18-Datos!T18)/Datos!T18,(Datos!J18+Datos!AD18-(Datos!T18+Datos!AL18))/(Datos!T18+Datos!AL18))
     ),IF(D_I="SI",(Datos!J18-Datos!T18)/Datos!T18,(Datos!J18+Datos!AD18-(Datos!T18+Datos!AL18))/(Datos!T18+Datos!AL18))," - ")</f>
        <v>0.27272727272727271</v>
      </c>
      <c r="D18" s="515">
        <f>IF(ISNUMBER(
   IF(D_I="SI",(Datos!K18-Datos!U18)/Datos!U18,(Datos!K18+Datos!AE18-(Datos!U18+Datos!AM18))/(Datos!U18+Datos!AM18))
     ),IF(D_I="SI",(Datos!K18-Datos!U18)/Datos!U18,(Datos!K18+Datos!AE18-(Datos!U18+Datos!AM18))/(Datos!U18+Datos!AM18))," - ")</f>
        <v>-0.17241379310344829</v>
      </c>
      <c r="E18" s="515">
        <f>IF(ISNUMBER(
   IF(D_I="SI",(Datos!L18-Datos!V18)/Datos!V18,(Datos!L18+Datos!AF18-(Datos!V18+Datos!AN18))/(Datos!V18+Datos!AN18))
     ),IF(D_I="SI",(Datos!L18-Datos!V18)/Datos!V18,(Datos!L18+Datos!AF18-(Datos!V18+Datos!AN18))/(Datos!V18+Datos!AN18))," - ")</f>
        <v>0.42105263157894735</v>
      </c>
      <c r="F18" s="515">
        <f>IF(ISNUMBER((Datos!M18-Datos!W18)/Datos!W18),(Datos!M18-Datos!W18)/Datos!W18," - ")</f>
        <v>0.25</v>
      </c>
      <c r="G18" s="516">
        <f>IF(ISNUMBER((Datos!N18-Datos!X18)/Datos!X18),(Datos!N18-Datos!X18)/Datos!X18," - ")</f>
        <v>-5.8823529411764705E-2</v>
      </c>
      <c r="H18" s="514">
        <f>IF(ISNUMBER(((NºAsuntos!G18/NºAsuntos!E18)-Datos!BD18)/Datos!BD18),((NºAsuntos!G18/NºAsuntos!E18)-Datos!BD18)/Datos!BD18," - ")</f>
        <v>-0.34975369458128081</v>
      </c>
      <c r="I18" s="515">
        <f>IF(ISNUMBER(((NºAsuntos!I18/NºAsuntos!G18)-Datos!BE18)/Datos!BE18),((NºAsuntos!I18/NºAsuntos!G18)-Datos!BE18)/Datos!BE18," - ")</f>
        <v>0.7171052631578948</v>
      </c>
      <c r="J18" s="521">
        <f>IF(ISNUMBER((('Resol  Asuntos'!D18/NºAsuntos!G18)-Datos!BF18)/Datos!BF18),(('Resol  Asuntos'!D18/NºAsuntos!G18)-Datos!BF18)/Datos!BF18," - ")</f>
        <v>0.51041666666666674</v>
      </c>
      <c r="K18" s="522">
        <f>IF(ISNUMBER((((NºAsuntos!C18+NºAsuntos!E18)/NºAsuntos!G18)-Datos!BG18)/Datos!BG18),(((NºAsuntos!C18+NºAsuntos!E18)/NºAsuntos!G18)-Datos!BG18)/Datos!BG18," - ")</f>
        <v>0.28385416666666669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0.35411471321695759</v>
      </c>
      <c r="C23" s="1152">
        <f>IF(ISNUMBER(
   IF(Criterios!B14="SI",(Datos!J23-Datos!T23)/Datos!T23,(Datos!J23+Datos!AD23-(Datos!T23+Datos!AL23))/(Datos!T23+Datos!AL23))
     ),IF(Criterios!B14="SI",(Datos!J23-Datos!T23)/Datos!T23,(Datos!J23+Datos!AD23-(Datos!T23+Datos!AL23))/(Datos!T23+Datos!AL23))," - ")</f>
        <v>8.8560885608856083E-2</v>
      </c>
      <c r="D23" s="1152">
        <f>IF(ISNUMBER(
   IF(Criterios!B14="SI",(Datos!K23-Datos!U23)/Datos!U23,(Datos!K23+Datos!AE23-(Datos!U23+Datos!AM23))/(Datos!U23+Datos!AM23))
     ),IF(Criterios!B14="SI",(Datos!K23-Datos!U23)/Datos!U23,(Datos!K23+Datos!AE23-(Datos!U23+Datos!AM23))/(Datos!U23+Datos!AM23))," - ")</f>
        <v>8.9965397923875437E-2</v>
      </c>
      <c r="E23" s="1152">
        <f>IF(ISNUMBER(
   IF(Criterios!B14="SI",(Datos!L23-Datos!V23)/Datos!V23,(Datos!L23+Datos!AF23-(Datos!V23+Datos!AN23))/(Datos!V23+Datos!AN23))
     ),IF(Criterios!B14="SI",(Datos!L23-Datos!V23)/Datos!V23,(Datos!L23+Datos!AF23-(Datos!V23+Datos!AN23))/(Datos!V23+Datos!AN23))," - ")</f>
        <v>0.36197916666666669</v>
      </c>
      <c r="F23" s="1153">
        <f>IF(ISNUMBER((Datos!M23-Datos!W23)/Datos!W23),(Datos!M23-Datos!W23)/Datos!W23," - ")</f>
        <v>-9.8360655737704916E-2</v>
      </c>
      <c r="G23" s="1154">
        <f>IF(ISNUMBER((Datos!N23-Datos!X23)/Datos!X23),(Datos!N23-Datos!X23)/Datos!X23," - ")</f>
        <v>-0.22981366459627328</v>
      </c>
      <c r="H23" s="1154">
        <f>IF(ISNUMBER(((NºAsuntos!G23/NºAsuntos!E23)-Datos!BD23)/Datos!BD23),((NºAsuntos!G23/NºAsuntos!E23)-Datos!BD23)/Datos!BD23," - ")</f>
        <v>1.2902469063398537E-3</v>
      </c>
      <c r="I23" s="1154">
        <f>IF(ISNUMBER(((NºAsuntos!I23/NºAsuntos!G23)-Datos!BE23)/Datos!BE23),((NºAsuntos!I23/NºAsuntos!G23)-Datos!BE23)/Datos!BE23," - ")</f>
        <v>0.24956183862433876</v>
      </c>
      <c r="J23" s="1154">
        <f>IF(ISNUMBER((('Resol  Asuntos'!D23/NºAsuntos!G23)-Datos!BF23)/Datos!BF23),(('Resol  Asuntos'!D23/NºAsuntos!G23)-Datos!BF23)/Datos!BF23," - ")</f>
        <v>-0.17278168097840227</v>
      </c>
      <c r="K23" s="1154">
        <f>IF(ISNUMBER((((NºAsuntos!C23+NºAsuntos!E23)/NºAsuntos!G23)-Datos!BG23)/Datos!BG23),(((NºAsuntos!C23+NºAsuntos!E23)/NºAsuntos!G23)-Datos!BG23)/Datos!BG23," - ")</f>
        <v>0.14409486016628864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7.000864304235091E-2</v>
      </c>
      <c r="C31" s="1092">
        <f>IF(ISNUMBER(
   IF(J_V="SI",(Datos!J31-Datos!T31)/Datos!T31,(Datos!J31+Datos!Z31-(Datos!T31+Datos!AH31))/(Datos!T31+Datos!AH31))
     ),IF(J_V="SI",(Datos!J31-Datos!T31)/Datos!T31,(Datos!J31+Datos!Z31-(Datos!T31+Datos!AH31))/(Datos!T31+Datos!AH31))," - ")</f>
        <v>-8.8091353996737357E-2</v>
      </c>
      <c r="D31" s="1092">
        <f>IF(ISNUMBER(
   IF(J_V="SI",(Datos!K31-Datos!U31)/Datos!U31,(Datos!K31+Datos!AA31-(Datos!U31+Datos!AI31))/(Datos!U31+Datos!AI31))
     ),IF(J_V="SI",(Datos!K31-Datos!U31)/Datos!U31,(Datos!K31+Datos!AA31-(Datos!U31+Datos!AI31))/(Datos!U31+Datos!AI31))," - ")</f>
        <v>-3.9393939393939391E-2</v>
      </c>
      <c r="E31" s="1092">
        <f>IF(ISNUMBER(
   IF(J_V="SI",(Datos!L31-Datos!V31)/Datos!V31,(Datos!L31+Datos!AB31-(Datos!V31+Datos!AJ31))/(Datos!V31+Datos!AJ31))
     ),IF(J_V="SI",(Datos!L31-Datos!V31)/Datos!V31,(Datos!L31+Datos!AB31-(Datos!V31+Datos!AJ31))/(Datos!V31+Datos!AJ31))," - ")</f>
        <v>4.6804680468046804E-2</v>
      </c>
      <c r="F31" s="1093">
        <f>IF(ISNUMBER((Datos!M31-Datos!W31)/Datos!W31),(Datos!M31-Datos!W31)/Datos!W31," - ")</f>
        <v>0.26356589147286824</v>
      </c>
      <c r="G31" s="1094">
        <f>IF(ISNUMBER((Datos!N31-Datos!X31)/Datos!X31),(Datos!N31-Datos!X31)/Datos!X31," - ")</f>
        <v>-0.22155688622754491</v>
      </c>
      <c r="H31" s="1095">
        <f>IF(ISNUMBER((Tasas!B31-Datos!BD31)/Datos!BD31),(Tasas!B31-Datos!BD31)/Datos!BD31," - ")</f>
        <v>5.3401637122567416E-2</v>
      </c>
      <c r="I31" s="1096">
        <f>IF(ISNUMBER((Tasas!C31-Datos!BE31)/Datos!BE31),(Tasas!C31-Datos!BE31)/Datos!BE31," - ")</f>
        <v>8.973357903613699E-2</v>
      </c>
      <c r="J31" s="1097">
        <f>IF(ISNUMBER((Tasas!D31-Datos!BF31)/Datos!BF31),(Tasas!D31-Datos!BF31)/Datos!BF31," - ")</f>
        <v>-0.27485238210790258</v>
      </c>
      <c r="K31" s="1097">
        <f>IF(ISNUMBER((Tasas!E31-Datos!BG31)/Datos!BG31),(Tasas!E31-Datos!BG31)/Datos!BG31," - ")</f>
        <v>5.6889269101213828E-2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i6tgXT9S8aWCpmXiJCB0zzN6YBGYWRNU/DoW0BHblk13r697VKj/hRSAz+gc2jR2V27h0WF+OYkf1PVtUkVA==" saltValue="4yE+efX95ebBT44SIx0q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ROTA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1.2129277566539924</v>
      </c>
      <c r="C12" s="498">
        <f>IF(ISNUMBER(NºAsuntos!I12/NºAsuntos!G12),NºAsuntos!I12/NºAsuntos!G12," - ")</f>
        <v>1.9717868338557993</v>
      </c>
      <c r="D12" s="499">
        <f>IF(ISNUMBER('Resol  Asuntos'!D12/NºAsuntos!G12),'Resol  Asuntos'!D12/NºAsuntos!G12," - ")</f>
        <v>0.33855799373040751</v>
      </c>
      <c r="E12" s="500">
        <f>IF(ISNUMBER((NºAsuntos!C12+NºAsuntos!E12)/NºAsuntos!G12),(NºAsuntos!C12+NºAsuntos!E12)/NºAsuntos!G12," - ")</f>
        <v>2.9717868338557993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1.2083333333333333</v>
      </c>
      <c r="C14" s="1156">
        <f>IF(ISNUMBER(NºAsuntos!I14/NºAsuntos!G14),NºAsuntos!I14/NºAsuntos!G14," - ")</f>
        <v>2.0062695924764888</v>
      </c>
      <c r="D14" s="1157">
        <f>IF(ISNUMBER('Resol  Asuntos'!D14/NºAsuntos!G14),'Resol  Asuntos'!D14/NºAsuntos!G14," - ")</f>
        <v>0.33855799373040751</v>
      </c>
      <c r="E14" s="1158">
        <f>IF(ISNUMBER((NºAsuntos!C14+NºAsuntos!E14)/NºAsuntos!G14),(NºAsuntos!C14+NºAsuntos!E14)/NºAsuntos!G14," - ")</f>
        <v>3.0062695924764888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1.0898876404494382</v>
      </c>
      <c r="C17" s="498">
        <f>IF(ISNUMBER(NºAsuntos!I17/NºAsuntos!G17),NºAsuntos!I17/NºAsuntos!G17," - ")</f>
        <v>1.70446735395189</v>
      </c>
      <c r="D17" s="499">
        <f>IF(ISNUMBER('Resol  Asuntos'!D17/NºAsuntos!G17),'Resol  Asuntos'!D17/NºAsuntos!G17," - ")</f>
        <v>0.1718213058419244</v>
      </c>
      <c r="E17" s="500">
        <f>IF(ISNUMBER((NºAsuntos!C17+NºAsuntos!E17)/NºAsuntos!G17),(NºAsuntos!C17+NºAsuntos!E17)/NºAsuntos!G17," - ")</f>
        <v>2.7044673539518902</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1.125</v>
      </c>
      <c r="D18" s="499">
        <f>IF(ISNUMBER('Resol  Asuntos'!D18/NºAsuntos!G18),'Resol  Asuntos'!D18/NºAsuntos!G18," - ")</f>
        <v>0.20833333333333334</v>
      </c>
      <c r="E18" s="500">
        <f>IF(ISNUMBER((NºAsuntos!C18+NºAsuntos!E18)/NºAsuntos!G18),(NºAsuntos!C18+NºAsuntos!E18)/NºAsuntos!G18," - ")</f>
        <v>2.125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1.0677966101694916</v>
      </c>
      <c r="C23" s="1156">
        <f>IF(ISNUMBER(NºAsuntos!I23/NºAsuntos!G23),NºAsuntos!I23/NºAsuntos!G23," - ")</f>
        <v>1.6603174603174604</v>
      </c>
      <c r="D23" s="1159">
        <f>IF(ISNUMBER('Resol  Asuntos'!D23/NºAsuntos!G23),'Resol  Asuntos'!D23/NºAsuntos!G23," - ")</f>
        <v>0.17460317460317459</v>
      </c>
      <c r="E23" s="1158">
        <f>IF(ISNUMBER((NºAsuntos!C23+NºAsuntos!E23)/NºAsuntos!G23),(NºAsuntos!C23+NºAsuntos!E23)/NºAsuntos!G23," - ")</f>
        <v>2.6603174603174602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1.1341681574239715</v>
      </c>
      <c r="C31" s="1099">
        <f>IF(ISNUMBER(NºAsuntos!I31/NºAsuntos!G31),NºAsuntos!I31/NºAsuntos!G31," - ")</f>
        <v>1.834384858044164</v>
      </c>
      <c r="D31" s="1100">
        <f>IF(ISNUMBER('Resol  Asuntos'!D31/NºAsuntos!G31),'Resol  Asuntos'!D31/NºAsuntos!G31," - ")</f>
        <v>0.25709779179810727</v>
      </c>
      <c r="E31" s="1101">
        <f>IF(ISNUMBER((NºAsuntos!C31+NºAsuntos!E31)/NºAsuntos!G31),(NºAsuntos!C31+NºAsuntos!E31)/NºAsuntos!G31," - ")</f>
        <v>2.8343848580441642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TvGt6I32BdvCg+sLLw13cWkVurKlIP5OB5cl91P17SHgvdSO2toOj/Z4ZnKYRdpa3H5OsYiesM5qaDxQlac5Q==" saltValue="G99y+4H5V2dp56m+u6dJ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ROTA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11</v>
      </c>
      <c r="AB10" s="374">
        <f>IF(ISNUMBER(Datos!R10),Datos!R10," - ")</f>
        <v>0</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108</v>
      </c>
      <c r="AJ12" s="243" t="str">
        <f>IF(ISNUMBER(Datos!BW12),Datos!BW12," - ")</f>
        <v xml:space="preserve"> - </v>
      </c>
      <c r="AK12" s="242" t="str">
        <f>IF(ISNUMBER(Datos!BX12),Datos!BX12," - ")</f>
        <v xml:space="preserve"> - </v>
      </c>
      <c r="AL12" s="266">
        <f>IF(ISNUMBER(NºAsuntos!G12/NºAsuntos!E12),NºAsuntos!G12/NºAsuntos!E12," - ")</f>
        <v>1.2129277566539924</v>
      </c>
      <c r="AM12" s="284">
        <f>IF(ISNUMBER(((NºAsuntos!I12/NºAsuntos!G12)*11)/factor_trimestre),((NºAsuntos!I12/NºAsuntos!G12)*11)/factor_trimestre," - ")</f>
        <v>5.9153605015673989</v>
      </c>
      <c r="AN12" s="267">
        <f>IF(ISNUMBER('Resol  Asuntos'!D12/NºAsuntos!G12),'Resol  Asuntos'!D12/NºAsuntos!G12," - ")</f>
        <v>0.33855799373040751</v>
      </c>
      <c r="AO12" s="268">
        <f>IF(ISNUMBER((NºAsuntos!C12+NºAsuntos!E12)/NºAsuntos!G12),(NºAsuntos!C12+NºAsuntos!E12)/NºAsuntos!G12," - ")</f>
        <v>2.9717868338557993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50</v>
      </c>
      <c r="Y14" s="1165">
        <f t="shared" si="6"/>
        <v>50</v>
      </c>
      <c r="Z14" s="1165">
        <f t="shared" si="6"/>
        <v>0</v>
      </c>
      <c r="AA14" s="1165">
        <f t="shared" si="6"/>
        <v>11</v>
      </c>
      <c r="AB14" s="1165">
        <f t="shared" si="6"/>
        <v>1084</v>
      </c>
      <c r="AC14" s="1165">
        <f t="shared" si="6"/>
        <v>11</v>
      </c>
      <c r="AD14" s="1165">
        <f t="shared" si="6"/>
        <v>0</v>
      </c>
      <c r="AE14" s="1169">
        <f t="shared" si="6"/>
        <v>0</v>
      </c>
      <c r="AF14" s="1162">
        <f t="shared" si="6"/>
        <v>0</v>
      </c>
      <c r="AG14" s="1170">
        <f t="shared" si="6"/>
        <v>0</v>
      </c>
      <c r="AH14" s="1167">
        <f t="shared" si="6"/>
        <v>0</v>
      </c>
      <c r="AI14" s="1162">
        <f t="shared" si="6"/>
        <v>108</v>
      </c>
      <c r="AJ14" s="1164">
        <f t="shared" si="6"/>
        <v>0</v>
      </c>
      <c r="AK14" s="1167">
        <f>SUBTOTAL(9,AK9:AK13)</f>
        <v>0</v>
      </c>
      <c r="AL14" s="1171">
        <f>IF(ISNUMBER(NºAsuntos!G14/NºAsuntos!E14),NºAsuntos!G14/NºAsuntos!E14," - ")</f>
        <v>1.2083333333333333</v>
      </c>
      <c r="AM14" s="1171">
        <f>IF(ISNUMBER(((NºAsuntos!I14/NºAsuntos!G14)*11)/factor_trimestre),((NºAsuntos!I14/NºAsuntos!G14)*11)/factor_trimestre," - ")</f>
        <v>6.0188087774294665</v>
      </c>
      <c r="AN14" s="1172">
        <f>IF(ISNUMBER('Resol  Asuntos'!D14/NºAsuntos!G14),'Resol  Asuntos'!D14/NºAsuntos!G14," - ")</f>
        <v>0.33855799373040751</v>
      </c>
      <c r="AO14" s="1173">
        <f>IF(ISNUMBER((NºAsuntos!C14+NºAsuntos!E14)/NºAsuntos!G14),(NºAsuntos!C14+NºAsuntos!E14)/NºAsuntos!G14," - ")</f>
        <v>3.0062695924764888</v>
      </c>
      <c r="AP14" s="1174" t="str">
        <f t="shared" si="2"/>
        <v xml:space="preserve"> - </v>
      </c>
      <c r="AQ14" s="1174">
        <f>IF(ISNUMBER((H14-W14+K14)/(F14)),(H14-W14+K14)/(F14)," - ")</f>
        <v>0</v>
      </c>
      <c r="AR14" s="1175">
        <f>IF(ISNUMBER((Datos!P14-Datos!Q14)/(Datos!R14-Datos!P14+Datos!Q14)),(Datos!P14-Datos!Q14)/(Datos!R14-Datos!P14+Datos!Q14)," - ")</f>
        <v>2.3607176581680833E-2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520</v>
      </c>
      <c r="G17" s="373">
        <f>IF(ISNUMBER(IF(D_I="SI",Datos!I17,Datos!I17+Datos!AC17)),IF(D_I="SI",Datos!I17,Datos!I17+Datos!AC17)," - ")</f>
        <v>520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291</v>
      </c>
      <c r="X17" s="240">
        <f>IF(ISNUMBER(Datos!Q17),Datos!Q17," - ")</f>
        <v>16</v>
      </c>
      <c r="Y17" s="374">
        <f t="shared" ref="Y17:Y22" si="9">SUM(W17:X17)</f>
        <v>307</v>
      </c>
      <c r="Z17" s="375" t="str">
        <f>IF(ISNUMBER(Datos!CC17),Datos!CC17," - ")</f>
        <v xml:space="preserve"> - </v>
      </c>
      <c r="AA17" s="372">
        <f>IF(ISNUMBER(IF(D_I="SI",Datos!L17,Datos!L17+Datos!AF17)),IF(D_I="SI",Datos!L17,Datos!L17+Datos!AF17)," - ")</f>
        <v>496</v>
      </c>
      <c r="AB17" s="374">
        <f>IF(ISNUMBER(Datos!R17),Datos!R17," - ")</f>
        <v>86</v>
      </c>
      <c r="AC17" s="374">
        <f t="shared" si="8"/>
        <v>582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1.0898876404494382</v>
      </c>
      <c r="AM17" s="284">
        <f>IF(ISNUMBER(((NºAsuntos!I17/NºAsuntos!G17)*11)/factor_trimestre),((NºAsuntos!I17/NºAsuntos!G17)*11)/factor_trimestre," - ")</f>
        <v>5.1134020618556706</v>
      </c>
      <c r="AN17" s="267">
        <f>IF(ISNUMBER('Resol  Asuntos'!D17/NºAsuntos!G17),'Resol  Asuntos'!D17/NºAsuntos!G17," - ")</f>
        <v>0.1718213058419244</v>
      </c>
      <c r="AO17" s="268">
        <f>IF(ISNUMBER((NºAsuntos!C17+NºAsuntos!E17)/NºAsuntos!G17),(NºAsuntos!C17+NºAsuntos!E17)/NºAsuntos!G17," - ")</f>
        <v>2.7044673539518902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3.375</v>
      </c>
      <c r="AN18" s="267">
        <f>IF(ISNUMBER('Resol  Asuntos'!D18/NºAsuntos!G18),'Resol  Asuntos'!D18/NºAsuntos!G18," - ")</f>
        <v>0.20833333333333334</v>
      </c>
      <c r="AO18" s="268">
        <f>IF(ISNUMBER((NºAsuntos!C18+NºAsuntos!E18)/NºAsuntos!G18),(NºAsuntos!C18+NºAsuntos!E18)/NºAsuntos!G18," - ")</f>
        <v>2.125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520</v>
      </c>
      <c r="G23" s="1163">
        <f>SUBTOTAL(9,G16:G22)</f>
        <v>543</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315</v>
      </c>
      <c r="X23" s="1164">
        <f t="shared" si="14"/>
        <v>16</v>
      </c>
      <c r="Y23" s="1165">
        <f t="shared" si="14"/>
        <v>331</v>
      </c>
      <c r="Z23" s="1165">
        <f t="shared" si="14"/>
        <v>0</v>
      </c>
      <c r="AA23" s="1165">
        <f t="shared" si="14"/>
        <v>523</v>
      </c>
      <c r="AB23" s="1165">
        <f t="shared" si="14"/>
        <v>86</v>
      </c>
      <c r="AC23" s="1165">
        <f t="shared" si="14"/>
        <v>609</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1.0677966101694916</v>
      </c>
      <c r="AM23" s="1171">
        <f>IF(ISNUMBER(((NºAsuntos!I23/NºAsuntos!G23)*11)/factor_trimestre),((NºAsuntos!I23/NºAsuntos!G23)*11)/factor_trimestre," - ")</f>
        <v>4.9809523809523819</v>
      </c>
      <c r="AN23" s="1172">
        <f>IF(ISNUMBER('Resol  Asuntos'!D23/NºAsuntos!G23),'Resol  Asuntos'!D23/NºAsuntos!G23," - ")</f>
        <v>0.17460317460317459</v>
      </c>
      <c r="AO23" s="1173">
        <f>IF(ISNUMBER((NºAsuntos!C23+NºAsuntos!E23)/NºAsuntos!G23),(NºAsuntos!C23+NºAsuntos!E23)/NºAsuntos!G23," - ")</f>
        <v>2.6603174603174602</v>
      </c>
      <c r="AP23" s="1174" t="str">
        <f t="shared" si="2"/>
        <v xml:space="preserve"> - </v>
      </c>
      <c r="AQ23" s="1174">
        <f>IF(ISNUMBER((H23-W23+K23)/(F23)),(H23-W23+K23)/(F23)," - ")</f>
        <v>-0.60576923076923073</v>
      </c>
      <c r="AR23" s="1175">
        <f>IF(ISNUMBER((Datos!P23-Datos!Q23)/(Datos!R23-Datos!P23+Datos!Q23)),(Datos!P23-Datos!Q23)/(Datos!R23-Datos!P23+Datos!Q23)," - ")</f>
        <v>-8.5106382978723402E-2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530</v>
      </c>
      <c r="G31" s="1118">
        <f t="shared" si="20"/>
        <v>553</v>
      </c>
      <c r="H31" s="1117">
        <f t="shared" si="20"/>
        <v>0</v>
      </c>
      <c r="I31" s="1119">
        <f t="shared" si="20"/>
        <v>0</v>
      </c>
      <c r="J31" s="1119">
        <f t="shared" si="20"/>
        <v>0</v>
      </c>
      <c r="K31" s="1180">
        <f t="shared" si="20"/>
        <v>0</v>
      </c>
      <c r="L31" s="1119">
        <f t="shared" si="20"/>
        <v>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315</v>
      </c>
      <c r="X31" s="1118">
        <f t="shared" si="21"/>
        <v>66</v>
      </c>
      <c r="Y31" s="1125">
        <f t="shared" si="21"/>
        <v>381</v>
      </c>
      <c r="Z31" s="1125">
        <f t="shared" si="21"/>
        <v>0</v>
      </c>
      <c r="AA31" s="1125">
        <f t="shared" si="21"/>
        <v>534</v>
      </c>
      <c r="AB31" s="1125">
        <f t="shared" si="21"/>
        <v>1170</v>
      </c>
      <c r="AC31" s="1125">
        <f t="shared" si="21"/>
        <v>620</v>
      </c>
      <c r="AD31" s="1125">
        <f t="shared" si="21"/>
        <v>0</v>
      </c>
      <c r="AE31" s="1127">
        <f t="shared" si="21"/>
        <v>0</v>
      </c>
      <c r="AF31" s="1128">
        <f t="shared" si="21"/>
        <v>0</v>
      </c>
      <c r="AG31" s="1129">
        <f t="shared" si="21"/>
        <v>0</v>
      </c>
      <c r="AH31" s="1127">
        <f t="shared" si="21"/>
        <v>0</v>
      </c>
      <c r="AI31" s="1117">
        <f t="shared" si="21"/>
        <v>163</v>
      </c>
      <c r="AJ31" s="1117">
        <f t="shared" si="21"/>
        <v>0</v>
      </c>
      <c r="AK31" s="1127">
        <f t="shared" si="21"/>
        <v>0</v>
      </c>
      <c r="AL31" s="1183">
        <f>IF(ISNUMBER(NºAsuntos!G31/NºAsuntos!E31),NºAsuntos!G31/NºAsuntos!E31," - ")</f>
        <v>1.1341681574239715</v>
      </c>
      <c r="AM31" s="1184">
        <f>IF(ISNUMBER(((NºAsuntos!I31/NºAsuntos!G31)*11)/factor_trimestre),((NºAsuntos!I31/NºAsuntos!G31)*11)/factor_trimestre," - ")</f>
        <v>5.5031545741324921</v>
      </c>
      <c r="AN31" s="1184">
        <f>IF(ISNUMBER('Resol  Asuntos'!D31/NºAsuntos!G31),'Resol  Asuntos'!D31/NºAsuntos!G31," - ")</f>
        <v>0.25709779179810727</v>
      </c>
      <c r="AO31" s="1185">
        <f>IF(ISNUMBER((NºAsuntos!C31+NºAsuntos!E31)/NºAsuntos!G31),(NºAsuntos!C31+NºAsuntos!E31)/NºAsuntos!G31," - ")</f>
        <v>2.8343848580441642</v>
      </c>
      <c r="AP31" s="1186" t="str">
        <f t="shared" si="2"/>
        <v xml:space="preserve"> - </v>
      </c>
      <c r="AQ31" s="1187">
        <f>IF(OR(ISNUMBER(FIND("01",Criterios!A8,1)),ISNUMBER(FIND("02",Criterios!A8,1)),ISNUMBER(FIND("03",Criterios!A8,1)),ISNUMBER(FIND("04",Criterios!A8,1))),(I31-W31+K31)/(F31-K31),(H31-W31+K31)/(F31-K31))</f>
        <v>-0.59433962264150941</v>
      </c>
      <c r="AR31" s="1188">
        <f>IF(ISNUMBER((Datos!P31-Datos!Q31)/(Datos!R31-Datos!P31+Datos!Q31)),(Datos!P31-Datos!Q31)/(Datos!R31-Datos!P31+Datos!Q31)," - ")</f>
        <v>1.4744145706851692E-2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265.98245556176573</v>
      </c>
      <c r="G33" s="277">
        <f>IF(ISNUMBER(STDEV(G8:G30)),STDEV(G8:G30),"-")</f>
        <v>255.35269726399994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145.93491700069589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47.197911576073544</v>
      </c>
      <c r="AJ33" s="276">
        <f t="shared" si="25"/>
        <v>0</v>
      </c>
      <c r="AK33" s="278">
        <f t="shared" si="25"/>
        <v>0</v>
      </c>
      <c r="AL33" s="273">
        <f t="shared" si="25"/>
        <v>0.4623474707907867</v>
      </c>
      <c r="AM33" s="274">
        <f t="shared" si="25"/>
        <v>1.0603227967710724</v>
      </c>
      <c r="AN33" s="274">
        <f t="shared" si="25"/>
        <v>8.5369820929441037E-2</v>
      </c>
      <c r="AO33" s="275">
        <f t="shared" si="25"/>
        <v>0.35344093225702217</v>
      </c>
      <c r="AP33" s="317" t="str">
        <f t="shared" si="25"/>
        <v>-</v>
      </c>
      <c r="AQ33" s="318">
        <f t="shared" si="25"/>
        <v>0.42834353091108163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5Es6em8fK3eaA230mzbz9wTLI5PLNbi0m9RuKsRb46Y/trF57k9SlGfh3DVZOS7V27i2qiv0d4CCgdSlB2qyw==" saltValue="U31crHPByUEwoO+r1ywn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ROTA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-0.9</v>
      </c>
      <c r="F10" s="393">
        <f>IF(ISNUMBER((Datos!K10-Datos!U10)/Datos!U10),(Datos!K10-Datos!U10)/Datos!U10," - ")</f>
        <v>-1</v>
      </c>
      <c r="G10" s="394">
        <f>IF(ISNUMBER((Datos!L10-Datos!V10)/Datos!V10),(Datos!L10-Datos!V10)/Datos!V10," - ")</f>
        <v>0.1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0.58823529411764708</v>
      </c>
      <c r="I12" s="395">
        <f>IF(ISNUMBER((Tasas!C12-Datos!BE12)/Datos!BE12),(Tasas!C12-Datos!BE12)/Datos!BE12," - ")</f>
        <v>-4.4814032694569569E-3</v>
      </c>
      <c r="J12" s="394">
        <f>IF(ISNUMBER((Tasas!D12-Datos!BF12)/Datos!BF12),(Tasas!D12-Datos!BF12)/Datos!BF12," - ")</f>
        <v>-0.29157229057567907</v>
      </c>
      <c r="K12" s="396">
        <f>IF(ISNUMBER((Tasas!E12-Datos!BG12)/Datos!BG12),(Tasas!E12-Datos!BG12)/Datos!BG12," - ")</f>
        <v>-2.9779111623732327E-3</v>
      </c>
      <c r="M12" t="e">
        <f>IF(Monitorios="SI",Datos!CE12,0)</f>
        <v>#REF!</v>
      </c>
      <c r="N12" t="e">
        <f>IF(Monitorios="SI",Datos!CF12,0)</f>
        <v>#REF!</v>
      </c>
      <c r="O12" t="e">
        <f>IF(Monitorios="SI",Datos!CG12,0)</f>
        <v>#REF!</v>
      </c>
      <c r="P12" t="e">
        <f>IF(Monitorios="SI",Datos!CH12,0)</f>
        <v>#REF!</v>
      </c>
      <c r="Q12">
        <f>IF(J_V="SI",0,Datos!AG12)</f>
        <v>20</v>
      </c>
      <c r="R12">
        <f>IF(J_V="SI",0,Datos!AH12)</f>
        <v>32</v>
      </c>
      <c r="S12">
        <f>IF(J_V="SI",0,Datos!AI12)</f>
        <v>15</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0.58823529411764708</v>
      </c>
      <c r="I14" s="402">
        <f>IF(ISNUMBER((Tasas!C14-Datos!BE14)/Datos!BE14),(Tasas!C14-Datos!BE14)/Datos!BE14," - ")</f>
        <v>2.3832212941922053E-2</v>
      </c>
      <c r="J14" s="400">
        <f>IF(ISNUMBER((Tasas!D14-Datos!BF14)/Datos!BF14),(Tasas!D14-Datos!BF14)/Datos!BF14," - ")</f>
        <v>-0.27395944697120705</v>
      </c>
      <c r="K14" s="403">
        <f>IF(ISNUMBER((Tasas!E14-Datos!BG14)/Datos!BG14),(Tasas!E14-Datos!BG14)/Datos!BG14," - ")</f>
        <v>1.5779616401436627E-2</v>
      </c>
      <c r="M14" t="e">
        <f>IF(Monitorios="SI",Datos!CE14,0)</f>
        <v>#REF!</v>
      </c>
      <c r="N14" t="e">
        <f>IF(Monitorios="SI",Datos!CF14,0)</f>
        <v>#REF!</v>
      </c>
      <c r="O14" t="e">
        <f>IF(Monitorios="SI",Datos!CG14,0)</f>
        <v>#REF!</v>
      </c>
      <c r="P14" t="e">
        <f>IF(Monitorios="SI",Datos!CH14,0)</f>
        <v>#REF!</v>
      </c>
      <c r="Q14">
        <f>IF(J_V="SI",0,Datos!AG14)</f>
        <v>20</v>
      </c>
      <c r="R14">
        <f>IF(J_V="SI",0,Datos!AH14)</f>
        <v>32</v>
      </c>
      <c r="S14">
        <f>IF(J_V="SI",0,Datos!AI14)</f>
        <v>15</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0.38666666666666666</v>
      </c>
      <c r="E17" s="393">
        <f>IF(ISNUMBER(
   IF(D_I="SI",(Datos!J17-Datos!T17)/Datos!T17,(Datos!J17+Datos!AD17-(Datos!T17+Datos!AL17))/(Datos!T17+Datos!AL17))
     ),IF(D_I="SI",(Datos!J17-Datos!T17)/Datos!T17,(Datos!J17+Datos!AD17-(Datos!T17+Datos!AL17))/(Datos!T17+Datos!AL17))," - ")</f>
        <v>7.2289156626506021E-2</v>
      </c>
      <c r="F17" s="393">
        <f>IF(ISNUMBER(
   IF(D_I="SI",(Datos!K17-Datos!U17)/Datos!U17,(Datos!K17+Datos!AE17-(Datos!U17+Datos!AM17))/(Datos!U17+Datos!AM17))
     ),IF(D_I="SI",(Datos!K17-Datos!U17)/Datos!U17,(Datos!K17+Datos!AE17-(Datos!U17+Datos!AM17))/(Datos!U17+Datos!AM17))," - ")</f>
        <v>0.11923076923076924</v>
      </c>
      <c r="G17" s="394">
        <f>IF(ISNUMBER(
   IF(D_I="SI",(Datos!L17-Datos!V17)/Datos!V17,(Datos!L17+Datos!AF17-(Datos!V17+Datos!AN17))/(Datos!V17+Datos!AN17))
     ),IF(D_I="SI",(Datos!L17-Datos!V17)/Datos!V17,(Datos!L17+Datos!AF17-(Datos!V17+Datos!AN17))/(Datos!V17+Datos!AN17))," - ")</f>
        <v>0.35890410958904112</v>
      </c>
      <c r="H17" s="244">
        <f>IF(ISNUMBER((Datos!M17-Datos!W17)/Datos!W17),(Datos!M17-Datos!W17)/Datos!W17," - ")</f>
        <v>-0.12280701754385964</v>
      </c>
      <c r="I17" s="395">
        <f>IF(ISNUMBER((Tasas!C17-Datos!BE17)/Datos!BE17),(Tasas!C17-Datos!BE17)/Datos!BE17," - ")</f>
        <v>0.21414112884244227</v>
      </c>
      <c r="J17" s="394">
        <f>IF(ISNUMBER((Tasas!D17-Datos!BF17)/Datos!BF17),(Tasas!D17-Datos!BF17)/Datos!BF17," - ")</f>
        <v>-0.21625369265087116</v>
      </c>
      <c r="K17" s="396">
        <f>IF(ISNUMBER((Tasas!E17-Datos!BG17)/Datos!BG17),(Tasas!E17-Datos!BG17)/Datos!BG17," - ")</f>
        <v>0.12686139747995429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-0.11538461538461539</v>
      </c>
      <c r="E18" s="393">
        <f>IF(ISNUMBER(
   IF(D_I="SI",(Datos!J18-Datos!T18)/Datos!T18,(Datos!J18+Datos!AD18-(Datos!T18+Datos!AL18))/(Datos!T18+Datos!AL18))
     ),IF(D_I="SI",(Datos!J18-Datos!T18)/Datos!T18,(Datos!J18+Datos!AD18-(Datos!T18+Datos!AL18))/(Datos!T18+Datos!AL18))," - ")</f>
        <v>0.27272727272727271</v>
      </c>
      <c r="F18" s="393">
        <f>IF(ISNUMBER(
   IF(D_I="SI",(Datos!K18-Datos!U18)/Datos!U18,(Datos!K18+Datos!AE18-(Datos!U18+Datos!AM18))/(Datos!U18+Datos!AM18))
     ),IF(D_I="SI",(Datos!K18-Datos!U18)/Datos!U18,(Datos!K18+Datos!AE18-(Datos!U18+Datos!AM18))/(Datos!U18+Datos!AM18))," - ")</f>
        <v>-0.17241379310344829</v>
      </c>
      <c r="G18" s="394">
        <f>IF(ISNUMBER(
   IF(D_I="SI",(Datos!L18-Datos!V18)/Datos!V18,(Datos!L18+Datos!AF18-(Datos!V18+Datos!AN18))/(Datos!V18+Datos!AN18))
     ),IF(D_I="SI",(Datos!L18-Datos!V18)/Datos!V18,(Datos!L18+Datos!AF18-(Datos!V18+Datos!AN18))/(Datos!V18+Datos!AN18))," - ")</f>
        <v>0.42105263157894735</v>
      </c>
      <c r="H18" s="244">
        <f>IF(ISNUMBER((Datos!M18-Datos!W18)/Datos!W18),(Datos!M18-Datos!W18)/Datos!W18," - ")</f>
        <v>0.25</v>
      </c>
      <c r="I18" s="395">
        <f>IF(ISNUMBER((Tasas!C18-Datos!BE18)/Datos!BE18),(Tasas!C18-Datos!BE18)/Datos!BE18," - ")</f>
        <v>0.7171052631578948</v>
      </c>
      <c r="J18" s="394">
        <f>IF(ISNUMBER((Tasas!D18-Datos!BF18)/Datos!BF18),(Tasas!D18-Datos!BF18)/Datos!BF18," - ")</f>
        <v>0.51041666666666674</v>
      </c>
      <c r="K18" s="396">
        <f>IF(ISNUMBER((Tasas!E18-Datos!BG18)/Datos!BG18),(Tasas!E18-Datos!BG18)/Datos!BG18," - ")</f>
        <v>0.28385416666666669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0.35411471321695759</v>
      </c>
      <c r="E23" s="399">
        <f>IF(ISNUMBER(
   IF(D_I="SI",(Datos!J23-Datos!T23)/Datos!T23,(Datos!J23+Datos!AD23-(Datos!T23+Datos!AL23))/(Datos!T23+Datos!AL23))
     ),IF(D_I="SI",(Datos!J23-Datos!T23)/Datos!T23,(Datos!J23+Datos!AD23-(Datos!T23+Datos!AL23))/(Datos!T23+Datos!AL23))," - ")</f>
        <v>8.8560885608856083E-2</v>
      </c>
      <c r="F23" s="399">
        <f>IF(ISNUMBER(
   IF(D_I="SI",(Datos!K23-Datos!U23)/Datos!U23,(Datos!K23+Datos!AE23-(Datos!U23+Datos!AM23))/(Datos!U23+Datos!AM23))
     ),IF(D_I="SI",(Datos!K23-Datos!U23)/Datos!U23,(Datos!K23+Datos!AE23-(Datos!U23+Datos!AM23))/(Datos!U23+Datos!AM23))," - ")</f>
        <v>8.9965397923875437E-2</v>
      </c>
      <c r="G23" s="400">
        <f>IF(ISNUMBER(
   IF(D_I="SI",(Datos!L23-Datos!V23)/Datos!V23,(Datos!L23+Datos!AF23-(Datos!V23+Datos!AN23))/(Datos!V23+Datos!AN23))
     ),IF(D_I="SI",(Datos!L23-Datos!V23)/Datos!V23,(Datos!L23+Datos!AF23-(Datos!V23+Datos!AN23))/(Datos!V23+Datos!AN23))," - ")</f>
        <v>0.36197916666666669</v>
      </c>
      <c r="H23" s="401">
        <f>IF(ISNUMBER((Datos!M23-Datos!W23)/Datos!W23),(Datos!M23-Datos!W23)/Datos!W23," - ")</f>
        <v>-9.8360655737704916E-2</v>
      </c>
      <c r="I23" s="402">
        <f>IF(ISNUMBER((Tasas!C23-Datos!BE23)/Datos!BE23),(Tasas!C23-Datos!BE23)/Datos!BE23," - ")</f>
        <v>0.24956183862433876</v>
      </c>
      <c r="J23" s="400">
        <f>IF(ISNUMBER((Tasas!D23-Datos!BF23)/Datos!BF23),(Tasas!D23-Datos!BF23)/Datos!BF23," - ")</f>
        <v>-0.17278168097840227</v>
      </c>
      <c r="K23" s="403">
        <f>IF(ISNUMBER((Tasas!E23-Datos!BG23)/Datos!BG23),(Tasas!E23-Datos!BG23)/Datos!BG23," - ")</f>
        <v>0.14409486016628864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7.000864304235091E-2</v>
      </c>
      <c r="E31" s="409">
        <f>IF(ISNUMBER(
   IF(J_V="SI",(Datos!J31-Datos!T31)/Datos!T31,(Datos!J31+Datos!Z31-(Datos!T31+Datos!AH31))/(Datos!T31+Datos!AH31))
     ),IF(J_V="SI",(Datos!J31-Datos!T31)/Datos!T31,(Datos!J31+Datos!Z31-(Datos!T31+Datos!AH31))/(Datos!T31+Datos!AH31))," - ")</f>
        <v>-8.8091353996737357E-2</v>
      </c>
      <c r="F31" s="409">
        <f>IF(ISNUMBER(
   IF(J_V="SI",(Datos!K31-Datos!U31)/Datos!U31,(Datos!K31+Datos!AA31-(Datos!U31+Datos!AI31))/(Datos!U31+Datos!AI31))
     ),IF(J_V="SI",(Datos!K31-Datos!U31)/Datos!U31,(Datos!K31+Datos!AA31-(Datos!U31+Datos!AI31))/(Datos!U31+Datos!AI31))," - ")</f>
        <v>-3.9393939393939391E-2</v>
      </c>
      <c r="G31" s="410">
        <f>IF(ISNUMBER(
   IF(J_V="SI",(Datos!L31-Datos!V31)/Datos!V31,(Datos!L31+Datos!AB31-(Datos!V31+Datos!AJ31))/(Datos!V31+Datos!AJ31))
     ),IF(J_V="SI",(Datos!L31-Datos!V31)/Datos!V31,(Datos!L31+Datos!AB31-(Datos!V31+Datos!AJ31))/(Datos!V31+Datos!AJ31))," - ")</f>
        <v>4.6804680468046804E-2</v>
      </c>
      <c r="H31" s="411">
        <f>IF(ISNUMBER((Datos!M31-Datos!W31)/Datos!W31),(Datos!M31-Datos!W31)/Datos!W31," - ")</f>
        <v>0.26356589147286824</v>
      </c>
      <c r="I31" s="408">
        <f>IF(ISNUMBER((Tasas!C31-Datos!BE31)/Datos!BE31),(Tasas!C31-Datos!BE31)/Datos!BE31," - ")</f>
        <v>8.973357903613699E-2</v>
      </c>
      <c r="J31" s="409">
        <f>IF(ISNUMBER((Tasas!D31-Datos!BF31)/Datos!BF31),(Tasas!D31-Datos!BF31)/Datos!BF31," - ")</f>
        <v>-0.27485238210790258</v>
      </c>
      <c r="K31" s="410">
        <f>IF(ISNUMBER((Tasas!E31-Datos!BG31)/Datos!BG31),(Tasas!E31-Datos!BG31)/Datos!BG31," - ")</f>
        <v>5.6889269101213828E-2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0.23448999054594172</v>
      </c>
      <c r="E33" s="303">
        <f t="shared" si="1"/>
        <v>0.53011363172923798</v>
      </c>
      <c r="F33" s="303">
        <f t="shared" si="1"/>
        <v>0.52284134511107294</v>
      </c>
      <c r="G33" s="304">
        <f t="shared" si="1"/>
        <v>0.14320753675218045</v>
      </c>
      <c r="H33" s="310">
        <f t="shared" si="1"/>
        <v>0.34955217110158504</v>
      </c>
      <c r="I33" s="302">
        <f t="shared" si="1"/>
        <v>0.28934806278762754</v>
      </c>
      <c r="J33" s="303">
        <f t="shared" si="1"/>
        <v>0.33828929861240542</v>
      </c>
      <c r="K33" s="304">
        <f t="shared" si="1"/>
        <v>0.1153814209011782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HvJxTa9/xdnB3g0cHIgm9toU8ronk6rGEL8KCRE73Pt5/Zpr6Siry1XCDXr47HGsGZf8Kvxzk3nnQNurGW5eA==" saltValue="UtAYU42UnyRwUHt8esMK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